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omments2.xml" ContentType="application/vnd.openxmlformats-officedocument.spreadsheetml.comments+xml"/>
  <Override PartName="/xl/charts/chart1.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5.xml" ContentType="application/vnd.openxmlformats-officedocument.drawing+xml"/>
  <Override PartName="/xl/comments3.xml" ContentType="application/vnd.openxmlformats-officedocument.spreadsheetml.comments+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charts/chart15.xml" ContentType="application/vnd.openxmlformats-officedocument.drawingml.chart+xml"/>
  <Override PartName="/xl/charts/style14.xml" ContentType="application/vnd.ms-office.chartstyle+xml"/>
  <Override PartName="/xl/charts/colors14.xml" ContentType="application/vnd.ms-office.chartcolorstyle+xml"/>
  <Override PartName="/xl/charts/chart16.xml" ContentType="application/vnd.openxmlformats-officedocument.drawingml.chart+xml"/>
  <Override PartName="/xl/charts/style15.xml" ContentType="application/vnd.ms-office.chartstyle+xml"/>
  <Override PartName="/xl/charts/colors15.xml" ContentType="application/vnd.ms-office.chartcolorstyle+xml"/>
  <Override PartName="/xl/charts/chart17.xml" ContentType="application/vnd.openxmlformats-officedocument.drawingml.chart+xml"/>
  <Override PartName="/xl/charts/style16.xml" ContentType="application/vnd.ms-office.chartstyle+xml"/>
  <Override PartName="/xl/charts/colors16.xml" ContentType="application/vnd.ms-office.chartcolorstyle+xml"/>
  <Override PartName="/xl/charts/chart18.xml" ContentType="application/vnd.openxmlformats-officedocument.drawingml.chart+xml"/>
  <Override PartName="/xl/charts/style17.xml" ContentType="application/vnd.ms-office.chartstyle+xml"/>
  <Override PartName="/xl/charts/colors17.xml" ContentType="application/vnd.ms-office.chartcolorstyle+xml"/>
  <Override PartName="/xl/theme/themeOverride1.xml" ContentType="application/vnd.openxmlformats-officedocument.themeOverride+xml"/>
  <Override PartName="/xl/charts/chart19.xml" ContentType="application/vnd.openxmlformats-officedocument.drawingml.chart+xml"/>
  <Override PartName="/xl/charts/style18.xml" ContentType="application/vnd.ms-office.chartstyle+xml"/>
  <Override PartName="/xl/charts/colors18.xml" ContentType="application/vnd.ms-office.chartcolorstyle+xml"/>
  <Override PartName="/xl/theme/themeOverride2.xml" ContentType="application/vnd.openxmlformats-officedocument.themeOverride+xml"/>
  <Override PartName="/xl/charts/chart20.xml" ContentType="application/vnd.openxmlformats-officedocument.drawingml.chart+xml"/>
  <Override PartName="/xl/charts/style19.xml" ContentType="application/vnd.ms-office.chartstyle+xml"/>
  <Override PartName="/xl/charts/colors19.xml" ContentType="application/vnd.ms-office.chartcolorstyle+xml"/>
  <Override PartName="/xl/theme/themeOverride3.xml" ContentType="application/vnd.openxmlformats-officedocument.themeOverride+xml"/>
  <Override PartName="/xl/charts/chart21.xml" ContentType="application/vnd.openxmlformats-officedocument.drawingml.chart+xml"/>
  <Override PartName="/xl/charts/style20.xml" ContentType="application/vnd.ms-office.chartstyle+xml"/>
  <Override PartName="/xl/charts/colors2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mc:AlternateContent xmlns:mc="http://schemas.openxmlformats.org/markup-compatibility/2006">
    <mc:Choice Requires="x15">
      <x15ac:absPath xmlns:x15ac="http://schemas.microsoft.com/office/spreadsheetml/2010/11/ac" url="\\uklonres003\UserData\E03490\My Documents\Alternative protiens project\Models\"/>
    </mc:Choice>
  </mc:AlternateContent>
  <bookViews>
    <workbookView xWindow="-15" yWindow="1185" windowWidth="14400" windowHeight="6960" firstSheet="4" activeTab="4"/>
  </bookViews>
  <sheets>
    <sheet name="__FDSCACHE__" sheetId="101" state="veryHidden" r:id="rId1"/>
    <sheet name="Company Overview" sheetId="79" r:id="rId2"/>
    <sheet name="Sheet2" sheetId="103" r:id="rId3"/>
    <sheet name="Company Score Card" sheetId="80" r:id="rId4"/>
    <sheet name="ESG Considerations" sheetId="81" r:id="rId5"/>
    <sheet name="Introduction" sheetId="90" r:id="rId6"/>
    <sheet name="Synapse_Upload_Data" sheetId="88" state="hidden" r:id="rId7"/>
    <sheet name="Sheet1" sheetId="89" state="hidden" r:id="rId8"/>
    <sheet name="Synapse Upload Results" sheetId="102" r:id="rId9"/>
    <sheet name="Sheet3" sheetId="104" r:id="rId10"/>
  </sheets>
  <externalReferences>
    <externalReference r:id="rId11"/>
    <externalReference r:id="rId12"/>
    <externalReference r:id="rId13"/>
  </externalReferences>
  <definedNames>
    <definedName name="__FDS_HYPERLINK_TOGGLE_STATE__" hidden="1">"ON"</definedName>
    <definedName name="__FDS_UNIQUE_RANGE_ID_GENERATOR_COUNTER" hidden="1">1</definedName>
    <definedName name="APPLICABLE_FOR_VALUATION_MODEL">"APPLICABLE_FOR_VALUATION_MODEL"</definedName>
    <definedName name="BARINGS_12M_TARGET_SELL_PRICE">'Company Overview'!$I$40</definedName>
    <definedName name="BARINGS_DISCOUNT_RATE">'Company Overview'!$T$40</definedName>
    <definedName name="BUS_DESCRIPTION_DUMMY">Synapse_Upload_Data!$N$34</definedName>
    <definedName name="BV_MULTI">'Company Overview'!$T$48</definedName>
    <definedName name="BV_PS">'Company Overview'!$T$49</definedName>
    <definedName name="CMP_PE_FY1">'Company Overview'!$T$60</definedName>
    <definedName name="CMP_PE_RELATIVE">'Company Overview'!$T$62</definedName>
    <definedName name="CMP_SPECIFIC">'Company Overview'!$T$37</definedName>
    <definedName name="DIV_FREQ">'Company Overview'!$AA$6</definedName>
    <definedName name="DIVIDEND_12M_FWD_VALUE">'Company Overview'!$I$39</definedName>
    <definedName name="DIVIDEND_YIELD_FY0">'Company Overview'!$T$20</definedName>
    <definedName name="DL_APPLICABLE_FOR_LIGHT_COVERAGE">Synapse_Upload_Data!$J$135</definedName>
    <definedName name="DL_APPLICABLE_FOR_VALUATION_MODEL">Synapse_Upload_Data!$J$134</definedName>
    <definedName name="DL_BARINGS_12M_TARGET_SELL_PRICE">Synapse_Upload_Data!$J$84</definedName>
    <definedName name="DL_BARINGS_DISCOUNT_RATE">Synapse_Upload_Data!$J$93</definedName>
    <definedName name="DL_BUY_TARGET">Synapse_Upload_Data!$J$4</definedName>
    <definedName name="DL_BV_MULTI">Synapse_Upload_Data!$J$97</definedName>
    <definedName name="DL_BV_PS">Synapse_Upload_Data!$J$98</definedName>
    <definedName name="DL_CMP_PE_FY1">Synapse_Upload_Data!$J$104</definedName>
    <definedName name="DL_CMP_PE_RELATIVE">Synapse_Upload_Data!$J$105</definedName>
    <definedName name="DL_CMP_SPECIFIC">Synapse_Upload_Data!$J$91</definedName>
    <definedName name="DL_DIV_FREQ">Synapse_Upload_Data!$J$157</definedName>
    <definedName name="DL_DIVIDEND_12M_FWD_VALUE">Synapse_Upload_Data!$J$83</definedName>
    <definedName name="DL_DIVIDEND_YIELD_FY0">Synapse_Upload_Data!$J$22</definedName>
    <definedName name="DL_DPS_1Y">Synapse_Upload_Data!$J$46</definedName>
    <definedName name="DL_DPS_2Y">Synapse_Upload_Data!$J$45</definedName>
    <definedName name="DL_DPS_3Y">Synapse_Upload_Data!$J$44</definedName>
    <definedName name="DL_DPS_FY0">Synapse_Upload_Data!$J$47</definedName>
    <definedName name="DL_DPS_FY1">Synapse_Upload_Data!$J$48</definedName>
    <definedName name="DL_DPS_FY2">Synapse_Upload_Data!$J$49</definedName>
    <definedName name="DL_DPS_FY3">Synapse_Upload_Data!$J$50</definedName>
    <definedName name="DL_DPS_FY4">Synapse_Upload_Data!$J$51</definedName>
    <definedName name="DL_DPS_FY5">Synapse_Upload_Data!$J$52</definedName>
    <definedName name="DL_DPS_GRWTH_1Y">Synapse_Upload_Data!$J$54</definedName>
    <definedName name="DL_DPS_GRWTH_2Y">Synapse_Upload_Data!$J$53</definedName>
    <definedName name="DL_DPS_GRWTH_FY0">Synapse_Upload_Data!$J$55</definedName>
    <definedName name="DL_DPS_GRWTH_FY1">Synapse_Upload_Data!$J$56</definedName>
    <definedName name="DL_DPS_GRWTH_FY2">Synapse_Upload_Data!$J$57</definedName>
    <definedName name="DL_DPS_GRWTH_FY3">Synapse_Upload_Data!$J$58</definedName>
    <definedName name="DL_DPS_GRWTH_FY4">Synapse_Upload_Data!$J$59</definedName>
    <definedName name="DL_DPS_GRWTH_FY5">Synapse_Upload_Data!$J$60</definedName>
    <definedName name="DL_DPS_PAYOUT_1Y">Synapse_Upload_Data!$J$63</definedName>
    <definedName name="DL_DPS_PAYOUT_2Y">Synapse_Upload_Data!$J$62</definedName>
    <definedName name="DL_DPS_PAYOUT_3Y">Synapse_Upload_Data!$J$61</definedName>
    <definedName name="DL_DPS_PAYOUT_FY0">Synapse_Upload_Data!$J$64</definedName>
    <definedName name="DL_DPS_PAYOUT_FY1">Synapse_Upload_Data!$J$65</definedName>
    <definedName name="DL_DPS_PAYOUT_FY2">Synapse_Upload_Data!$J$66</definedName>
    <definedName name="DL_DPS_PAYOUT_FY3">Synapse_Upload_Data!$J$67</definedName>
    <definedName name="DL_DPS_PAYOUT_FY4">Synapse_Upload_Data!$J$68</definedName>
    <definedName name="DL_DPS_PAYOUT_FY5">Synapse_Upload_Data!$J$69</definedName>
    <definedName name="DL_EPS_12M_FWD_VALUE">Synapse_Upload_Data!$J$80</definedName>
    <definedName name="DL_EPS_1Y">Synapse_Upload_Data!$J$31</definedName>
    <definedName name="DL_EPS_2Y">Synapse_Upload_Data!$J$30</definedName>
    <definedName name="DL_EPS_3Y">Synapse_Upload_Data!$J$29</definedName>
    <definedName name="DL_EPS_5YR">Synapse_Upload_Data!$J$16</definedName>
    <definedName name="DL_EPS_5YR_DISCOUNTED">Synapse_Upload_Data!$J$79</definedName>
    <definedName name="DL_EPS_FY0">Synapse_Upload_Data!$J$32</definedName>
    <definedName name="DL_EPS_FY1">Synapse_Upload_Data!$J$6</definedName>
    <definedName name="DL_EPS_FY1_CONSENSUS">Synapse_Upload_Data!$J$23</definedName>
    <definedName name="DL_EPS_FY1_CONSENSUS_DATE">Synapse_Upload_Data!$J$26</definedName>
    <definedName name="DL_EPS_FY1_REPORT_CCY">Synapse_Upload_Data!$J$153</definedName>
    <definedName name="DL_EPS_FY2">Synapse_Upload_Data!$J$7</definedName>
    <definedName name="DL_EPS_FY2_CONSENSUS">Synapse_Upload_Data!$J$24</definedName>
    <definedName name="DL_EPS_FY2_CONSENSUS_DATE">Synapse_Upload_Data!$J$27</definedName>
    <definedName name="DL_EPS_FY2_REPORT_CCY">Synapse_Upload_Data!$J$154</definedName>
    <definedName name="DL_EPS_FY3">Synapse_Upload_Data!$J$33</definedName>
    <definedName name="DL_EPS_FY3_CONSENSUS">Synapse_Upload_Data!$J$25</definedName>
    <definedName name="DL_EPS_FY3_CONSENSUS_DATE">Synapse_Upload_Data!$J$28</definedName>
    <definedName name="DL_EPS_FY4">Synapse_Upload_Data!$J$34</definedName>
    <definedName name="DL_EPS_FY5">Synapse_Upload_Data!$J$35</definedName>
    <definedName name="DL_EPS_GRWTH_1Y">Synapse_Upload_Data!$J$37</definedName>
    <definedName name="DL_EPS_GRWTH_2Y">Synapse_Upload_Data!$J$36</definedName>
    <definedName name="DL_EPS_GRWTH_AVERAGE">Synapse_Upload_Data!$J$88</definedName>
    <definedName name="DL_EPS_GRWTH_CAGR_NEXT_5YRS">Synapse_Upload_Data!$J$87</definedName>
    <definedName name="DL_EPS_GRWTH_FY0">Synapse_Upload_Data!$J$38</definedName>
    <definedName name="DL_EPS_GRWTH_FY1">Synapse_Upload_Data!$J$39</definedName>
    <definedName name="DL_EPS_GRWTH_FY2">Synapse_Upload_Data!$J$40</definedName>
    <definedName name="DL_EPS_GRWTH_FY3">Synapse_Upload_Data!$J$41</definedName>
    <definedName name="DL_EPS_GRWTH_FY4">Synapse_Upload_Data!$J$42</definedName>
    <definedName name="DL_EPS_GRWTH_FY5">Synapse_Upload_Data!$J$43</definedName>
    <definedName name="DL_EPS_GRWTH_LAST_3YRS">Synapse_Upload_Data!$J$85</definedName>
    <definedName name="DL_EPS_GRWTH_NEXT_12M">Synapse_Upload_Data!$J$86</definedName>
    <definedName name="DL_EQUITY_12M_FWD_VALUE">Synapse_Upload_Data!$J$82</definedName>
    <definedName name="DL_ESG_IMPACT">Synapse_Upload_Data!$J$92</definedName>
    <definedName name="DL_ESG_KEY_ISSUE_1">Synapse_Upload_Data!$J$121</definedName>
    <definedName name="DL_ESG_KEY_ISSUE_2">Synapse_Upload_Data!$J$122</definedName>
    <definedName name="DL_ESG_KEY_ISSUE_3">Synapse_Upload_Data!$J$123</definedName>
    <definedName name="DL_ESG_KEY_ISSUE_4">Synapse_Upload_Data!$J$124</definedName>
    <definedName name="DL_ESG_KEY_ISSUE_5">Synapse_Upload_Data!$J$125</definedName>
    <definedName name="DL_ESG_KEY_ISSUE_6">Synapse_Upload_Data!$J$126</definedName>
    <definedName name="DL_ESG_KEY_ISSUE_7">Synapse_Upload_Data!$J$127</definedName>
    <definedName name="DL_ESG_KEY_ISSUE_8">Synapse_Upload_Data!$J$128</definedName>
    <definedName name="DL_ESG_KEY_ISSUE_9">Synapse_Upload_Data!$J$129</definedName>
    <definedName name="DL_FISCAL_YEAR_END">Synapse_Upload_Data!$J$139</definedName>
    <definedName name="DL_FY0_DATE">Synapse_Upload_Data!$J$143</definedName>
    <definedName name="DL_FY1_DATE">Synapse_Upload_Data!$J$144</definedName>
    <definedName name="DL_FY2_DATE">Synapse_Upload_Data!$J$145</definedName>
    <definedName name="DL_FY3_DATE">Synapse_Upload_Data!$J$146</definedName>
    <definedName name="DL_FY4_DATE">Synapse_Upload_Data!$J$147</definedName>
    <definedName name="DL_FY5_DATE">Synapse_Upload_Data!$J$148</definedName>
    <definedName name="DL_GRWTH_CAGR_NEXT_5YRS_SUBSCORE">Synapse_Upload_Data!$J$115</definedName>
    <definedName name="DL_GRWTH_LAST_3YRS_SUBSCORE">Synapse_Upload_Data!$J$113</definedName>
    <definedName name="DL_GRWTH_NEXT_12M_SUBSCORE">Synapse_Upload_Data!$J$114</definedName>
    <definedName name="DL_GRWTH_OVERALL_SCORE">Synapse_Upload_Data!$J$116</definedName>
    <definedName name="DL_LAST_PUBLISHED_DATE">Synapse_Upload_Data!$J$138</definedName>
    <definedName name="DL_LAST_SAVED_DATE">Synapse_Upload_Data!$J$137</definedName>
    <definedName name="DL_LATEST_DIV">Synapse_Upload_Data!$J$156</definedName>
    <definedName name="DL_LTIR">Synapse_Upload_Data!$J$96</definedName>
    <definedName name="DL_MARKET_VALUE">Synapse_Upload_Data!$J$21</definedName>
    <definedName name="DL_MRKT_RISK_PREM">Synapse_Upload_Data!$J$90</definedName>
    <definedName name="DL_ONE_YEAR_AGO_DATE">Synapse_Upload_Data!$J$142</definedName>
    <definedName name="DL_OPMARGIN_FY1">Synapse_Upload_Data!$J$10</definedName>
    <definedName name="DL_OPMARGIN_FY2">Synapse_Upload_Data!$J$11</definedName>
    <definedName name="DL_PART_OF_ANALYST_PLAYBOOK">Synapse_Upload_Data!$J$136</definedName>
    <definedName name="DL_PE_1Y">Synapse_Upload_Data!$J$72</definedName>
    <definedName name="DL_PE_2Y">Synapse_Upload_Data!$J$71</definedName>
    <definedName name="DL_PE_3Y">Synapse_Upload_Data!$J$70</definedName>
    <definedName name="DL_PE_FY0">Synapse_Upload_Data!$J$73</definedName>
    <definedName name="DL_PE_FY1">Synapse_Upload_Data!$J$74</definedName>
    <definedName name="DL_PE_FY2">Synapse_Upload_Data!$J$75</definedName>
    <definedName name="DL_PE_FY3">Synapse_Upload_Data!$J$76</definedName>
    <definedName name="DL_PE_FY4">Synapse_Upload_Data!$J$77</definedName>
    <definedName name="DL_PE_FY5">Synapse_Upload_Data!$J$78</definedName>
    <definedName name="DL_PRICE">Synapse_Upload_Data!$J$17</definedName>
    <definedName name="DL_PRICE_DATE">Synapse_Upload_Data!$J$18</definedName>
    <definedName name="DL_PRICE_IN_REPORTING_CCY">Synapse_Upload_Data!$J$151</definedName>
    <definedName name="DL_QLTY_BS_SUBSCORE">Synapse_Upload_Data!$J$111</definedName>
    <definedName name="DL_QLTY_FRCHS_SUBSCORE">Synapse_Upload_Data!$J$109</definedName>
    <definedName name="DL_QLTY_MGMT_SUBSCORE">Synapse_Upload_Data!$J$110</definedName>
    <definedName name="DL_QLTY_OVERALL_SCORE">Synapse_Upload_Data!$J$112</definedName>
    <definedName name="DL_REVENUE_FY1">Synapse_Upload_Data!$J$8</definedName>
    <definedName name="DL_REVENUE_FY2">Synapse_Upload_Data!$J$9</definedName>
    <definedName name="DL_RFR_INFLATION">Synapse_Upload_Data!$J$89</definedName>
    <definedName name="DL_ROE_FY0">Synapse_Upload_Data!$J$95</definedName>
    <definedName name="DL_ROE_FY1">Synapse_Upload_Data!$J$12</definedName>
    <definedName name="DL_ROE_FY2">Synapse_Upload_Data!$J$13</definedName>
    <definedName name="DL_ROIC_FY0">Synapse_Upload_Data!$J$101</definedName>
    <definedName name="DL_ROICWACC_RATIO">Synapse_Upload_Data!$J$103</definedName>
    <definedName name="DL_SEC_ANALYST">Synapse_Upload_Data!$F$5</definedName>
    <definedName name="DL_SEC_CODE">Synapse_Upload_Data!$F$4</definedName>
    <definedName name="DL_SEC_COUNTRY">Synapse_Upload_Data!$F$8</definedName>
    <definedName name="DL_SEC_DEF_BENCHMARK">Synapse_Upload_Data!$F$6</definedName>
    <definedName name="DL_SEC_NAME">Synapse_Upload_Data!$F$3</definedName>
    <definedName name="DL_SECTOR_PE">Synapse_Upload_Data!$J$106</definedName>
    <definedName name="DL_SELL_TARGET">Synapse_Upload_Data!$J$5</definedName>
    <definedName name="DL_SELL_TARGET_REPORT_CCY">Synapse_Upload_Data!$J$149</definedName>
    <definedName name="DL_SHARE_PER_UNIT">Synapse_Upload_Data!$F$9</definedName>
    <definedName name="DL_STOCK_SCORE">Synapse_Upload_Data!$J$3</definedName>
    <definedName name="DL_SUITABLE_ASIA">Synapse_Upload_Data!$J$132</definedName>
    <definedName name="DL_SUITABLE_CHINA">Synapse_Upload_Data!$J$133</definedName>
    <definedName name="DL_SUITABLE_DM">Synapse_Upload_Data!$J$130</definedName>
    <definedName name="DL_SUITABLE_EM">Synapse_Upload_Data!$J$131</definedName>
    <definedName name="DL_TARGET_PE_MULTIPLE">Synapse_Upload_Data!$J$81</definedName>
    <definedName name="DL_TARGET_PRICE_DOWNSIDE">Synapse_Upload_Data!$J$20</definedName>
    <definedName name="DL_TARGET_PRICE_SECTOR_VALUE">Synapse_Upload_Data!$J$107</definedName>
    <definedName name="DL_TARGET_PRICE_STATIC_VALUE">Synapse_Upload_Data!$J$99</definedName>
    <definedName name="DL_TARGET_PRICE_UPSIDE">Synapse_Upload_Data!$J$19</definedName>
    <definedName name="DL_TARGET_PRICE_UPSIDE_REPORT_CCY">Synapse_Upload_Data!$J$150</definedName>
    <definedName name="DL_TBO_TEXTITEM_1">Synapse_Upload_Data!$O$3</definedName>
    <definedName name="DL_TBO_TEXTITEM_10">Synapse_Upload_Data!$O$12</definedName>
    <definedName name="DL_TBO_TEXTITEM_11">Synapse_Upload_Data!$O$13</definedName>
    <definedName name="DL_TBO_TEXTITEM_12">Synapse_Upload_Data!$O$14</definedName>
    <definedName name="DL_TBO_TEXTITEM_13">Synapse_Upload_Data!$O$15</definedName>
    <definedName name="DL_TBO_TEXTITEM_14">Synapse_Upload_Data!$O$16</definedName>
    <definedName name="DL_TBO_TEXTITEM_15">Synapse_Upload_Data!$O$17</definedName>
    <definedName name="DL_TBO_TEXTITEM_16">Synapse_Upload_Data!$O$18</definedName>
    <definedName name="DL_TBO_TEXTITEM_17">Synapse_Upload_Data!$O$19</definedName>
    <definedName name="DL_TBO_TEXTITEM_18">Synapse_Upload_Data!$O$20</definedName>
    <definedName name="DL_TBO_TEXTITEM_19">Synapse_Upload_Data!$O$21</definedName>
    <definedName name="DL_TBO_TEXTITEM_2">Synapse_Upload_Data!$O$4</definedName>
    <definedName name="DL_TBO_TEXTITEM_20">Synapse_Upload_Data!$O$22</definedName>
    <definedName name="DL_TBO_TEXTITEM_21">Synapse_Upload_Data!$O$23</definedName>
    <definedName name="DL_TBO_TEXTITEM_22">Synapse_Upload_Data!$O$24</definedName>
    <definedName name="DL_TBO_TEXTITEM_23">Synapse_Upload_Data!$O$25</definedName>
    <definedName name="DL_TBO_TEXTITEM_24">Synapse_Upload_Data!$O$26</definedName>
    <definedName name="DL_TBO_TEXTITEM_25">Synapse_Upload_Data!$O$27</definedName>
    <definedName name="DL_TBO_TEXTITEM_26">Synapse_Upload_Data!$O$28</definedName>
    <definedName name="DL_TBO_TEXTITEM_3">Synapse_Upload_Data!$O$5</definedName>
    <definedName name="DL_TBO_TEXTITEM_4">Synapse_Upload_Data!$O$6</definedName>
    <definedName name="DL_TBO_TEXTITEM_5">Synapse_Upload_Data!$O$7</definedName>
    <definedName name="DL_TBO_TEXTITEM_6">Synapse_Upload_Data!$O$8</definedName>
    <definedName name="DL_TBO_TEXTITEM_7">Synapse_Upload_Data!$O$9</definedName>
    <definedName name="DL_TBO_TEXTITEM_8">Synapse_Upload_Data!$O$10</definedName>
    <definedName name="DL_TBO_TEXTITEM_9">Synapse_Upload_Data!$O$11</definedName>
    <definedName name="DL_TEMPLATE_DATE">Synapse_Upload_Data!$F$7</definedName>
    <definedName name="DL_THREE_YEARS_AGO_DATE">Synapse_Upload_Data!$J$140</definedName>
    <definedName name="DL_TWO_YEARS_AGO_DATE">Synapse_Upload_Data!$J$141</definedName>
    <definedName name="DL_UPSIDE_EARN_VALUE">Synapse_Upload_Data!$J$94</definedName>
    <definedName name="DL_UPSIDE_SECTOR_VALUE">Synapse_Upload_Data!$J$108</definedName>
    <definedName name="DL_UPSIDE_STATIC_VALUE">Synapse_Upload_Data!$J$100</definedName>
    <definedName name="DL_VAL_DISC_EARNING_SUBSCORE">Synapse_Upload_Data!$J$119</definedName>
    <definedName name="DL_VAL_MRKT_MEASURE_SUBSCORE">Synapse_Upload_Data!$J$117</definedName>
    <definedName name="DL_VAL_OVERALL_SCORE">Synapse_Upload_Data!$J$120</definedName>
    <definedName name="DL_VAL_STATIC_MEASURE_SUBSCORE">Synapse_Upload_Data!$J$118</definedName>
    <definedName name="DL_WACC_FY0">Synapse_Upload_Data!$J$102</definedName>
    <definedName name="DL_XD_DATE">Synapse_Upload_Data!$J$155</definedName>
    <definedName name="DL_XD_DATE_PREV">Synapse_Upload_Data!$J$158</definedName>
    <definedName name="DL_XRATE_ON_PRICE_DATE_FROM_PRICE_TO_REPORT_CCY">Synapse_Upload_Data!$J$152</definedName>
    <definedName name="DL_YIELD_FY1">Synapse_Upload_Data!$J$14</definedName>
    <definedName name="DL_YIELD_FY2">Synapse_Upload_Data!$J$15</definedName>
    <definedName name="DPS_1Y">'Company Overview'!$I$28</definedName>
    <definedName name="DPS_2Y">'Company Overview'!$G$28</definedName>
    <definedName name="DPS_3Y">'Company Overview'!$E$28</definedName>
    <definedName name="DPS_FY0">'Company Overview'!$K$28</definedName>
    <definedName name="DPS_FY1">'Company Overview'!$M$28</definedName>
    <definedName name="DPS_FY2">'Company Overview'!$O$28</definedName>
    <definedName name="DPS_FY3">'Company Overview'!$Q$28</definedName>
    <definedName name="DPS_FY4">'Company Overview'!$S$28</definedName>
    <definedName name="DPS_FY5">'Company Overview'!$U$28</definedName>
    <definedName name="DPS_GRWTH_1Y">'Company Overview'!$I$29</definedName>
    <definedName name="DPS_GRWTH_2Y">'Company Overview'!$G$29</definedName>
    <definedName name="DPS_GRWTH_FY0">'Company Overview'!$K$29</definedName>
    <definedName name="DPS_GRWTH_FY1">'Company Overview'!$M$29</definedName>
    <definedName name="DPS_GRWTH_FY2">'Company Overview'!$O$29</definedName>
    <definedName name="DPS_GRWTH_FY3">'Company Overview'!$Q$29</definedName>
    <definedName name="DPS_GRWTH_FY4">'Company Overview'!$S$29</definedName>
    <definedName name="DPS_GRWTH_FY5">'Company Overview'!$U$29</definedName>
    <definedName name="DPS_PAYOUT_1Y">'Company Overview'!$I$30</definedName>
    <definedName name="DPS_PAYOUT_2Y">'Company Overview'!$G$30</definedName>
    <definedName name="DPS_PAYOUT_3Y">'Company Overview'!$E$30</definedName>
    <definedName name="DPS_PAYOUT_FY0">'Company Overview'!$K$30</definedName>
    <definedName name="DPS_PAYOUT_FY1">'Company Overview'!$M$30</definedName>
    <definedName name="DPS_PAYOUT_FY2">'Company Overview'!$O$30</definedName>
    <definedName name="DPS_PAYOUT_FY3">'Company Overview'!$Q$30</definedName>
    <definedName name="DPS_PAYOUT_FY4">'Company Overview'!$S$30</definedName>
    <definedName name="DPS_PAYOUT_FY5">'Company Overview'!$U$30</definedName>
    <definedName name="EPS_12M_FWD_VALUE">'Company Overview'!$I$36</definedName>
    <definedName name="EPS_1Y">'Company Overview'!$I$26</definedName>
    <definedName name="EPS_2Y">'Company Overview'!$G$26</definedName>
    <definedName name="EPS_3Y">'Company Overview'!$E$26</definedName>
    <definedName name="EPS_5YR_DISCOUNTED">'Company Overview'!$I$35</definedName>
    <definedName name="EPS_FY0">'Company Overview'!$K$26</definedName>
    <definedName name="EPS_FY1">'Company Overview'!$M$26</definedName>
    <definedName name="EPS_FY1_CONSENSUS">'Company Overview'!$T$21</definedName>
    <definedName name="EPS_FY2">'Company Overview'!$O$26</definedName>
    <definedName name="EPS_FY2_CONSENSUS">'Company Overview'!$T$22</definedName>
    <definedName name="EPS_FY3">'Company Overview'!$Q$26</definedName>
    <definedName name="EPS_FY3_CONSENSUS">'Company Overview'!$T$23</definedName>
    <definedName name="EPS_FY4">'Company Overview'!$S$26</definedName>
    <definedName name="EPS_FY5">'Company Overview'!$U$26</definedName>
    <definedName name="EPS_GRWTH_1Y">'Company Overview'!$I$27</definedName>
    <definedName name="EPS_GRWTH_2Y">'Company Overview'!$G$27</definedName>
    <definedName name="EPS_GRWTH_CAGR_NEXT_5YRS">'Company Overview'!$I$48</definedName>
    <definedName name="EPS_GRWTH_FY0">'Company Overview'!$K$27</definedName>
    <definedName name="EPS_GRWTH_FY1">'Company Overview'!$M$27</definedName>
    <definedName name="EPS_GRWTH_FY2">'Company Overview'!$O$27</definedName>
    <definedName name="EPS_GRWTH_FY3">'Company Overview'!$Q$27</definedName>
    <definedName name="EPS_GRWTH_FY4">'Company Overview'!$S$27</definedName>
    <definedName name="EPS_GRWTH_FY5">'Company Overview'!$U$27</definedName>
    <definedName name="EPS_GRWTH_LAST_3YRS">'Company Overview'!$I$46</definedName>
    <definedName name="EPS_GRWTH_NEXT_12M">'Company Overview'!$I$47</definedName>
    <definedName name="EQUITY_12M_FWD_VALUE">'Company Overview'!$I$38</definedName>
    <definedName name="ESG_IMPACT">'ESG Considerations'!$F$27</definedName>
    <definedName name="ESG_KEY_ISSUE_1">'ESG Considerations'!$G$12</definedName>
    <definedName name="ESG_KEY_ISSUE_2">'ESG Considerations'!$G$13</definedName>
    <definedName name="ESG_KEY_ISSUE_3">'ESG Considerations'!$G$14</definedName>
    <definedName name="ESG_KEY_ISSUE_4">'ESG Considerations'!$G$17</definedName>
    <definedName name="ESG_KEY_ISSUE_5">'ESG Considerations'!$G$18</definedName>
    <definedName name="ESG_KEY_ISSUE_6">'ESG Considerations'!$G$19</definedName>
    <definedName name="ESG_KEY_ISSUE_7">'ESG Considerations'!$G$22</definedName>
    <definedName name="ESG_KEY_ISSUE_8">'ESG Considerations'!$G$23</definedName>
    <definedName name="ESG_KEY_ISSUE_9">'ESG Considerations'!$G$24</definedName>
    <definedName name="FISCAL_YEAR_END">'Company Overview'!$AD$1</definedName>
    <definedName name="FS_DATA">Synapse_Upload_Data!$A$3:$C$1029</definedName>
    <definedName name="FY0_DATE">'Company Overview'!$K$25</definedName>
    <definedName name="FY1_DATE">'Company Overview'!$M$25</definedName>
    <definedName name="FY2_DATE">'Company Overview'!$O$25</definedName>
    <definedName name="FY3_DATE">'Company Overview'!$Q$25</definedName>
    <definedName name="FY4_DATE">'Company Overview'!$S$25</definedName>
    <definedName name="FY5_DATE">'Company Overview'!$U$25</definedName>
    <definedName name="GRWTH_CAGR_NEXT_5YRS_SUBSCORE">'Company Score Card'!$E$32</definedName>
    <definedName name="GRWTH_LAST_3YRS_SUBSCORE">'Company Score Card'!$E$28</definedName>
    <definedName name="GRWTH_NEXT_12M_SUBSCORE">'Company Score Card'!$E$30</definedName>
    <definedName name="GRWTH_OVERALL_SCORE">'Company Score Card'!$E$27</definedName>
    <definedName name="LATEST_DIV">'Company Overview'!$Y$4</definedName>
    <definedName name="LTIR">'Company Overview'!$T$47</definedName>
    <definedName name="MARKET_VALUE">'Company Overview'!$T$19</definedName>
    <definedName name="MRKT_RISK_PREM">'Company Overview'!$T$36</definedName>
    <definedName name="ONE_YEAR_AGO_DATE">'Company Overview'!$I$25</definedName>
    <definedName name="PE_1Y">'Company Overview'!$I$31</definedName>
    <definedName name="PE_2Y">'Company Overview'!$G$31</definedName>
    <definedName name="PE_3Y">'Company Overview'!$E$31</definedName>
    <definedName name="PE_FY0">'Company Overview'!$K$31</definedName>
    <definedName name="PE_FY1">'Company Overview'!$M$31</definedName>
    <definedName name="PE_FY2">'Company Overview'!$O$31</definedName>
    <definedName name="PE_FY3">'Company Overview'!$Q$31</definedName>
    <definedName name="PE_FY4">'Company Overview'!$S$31</definedName>
    <definedName name="PE_FY5">'Company Overview'!$U$31</definedName>
    <definedName name="PRICE">'Company Overview'!$T$13</definedName>
    <definedName name="PRICE_DATE">'Company Overview'!$T$7</definedName>
    <definedName name="PRICE_IN_REPORTING_CCY">'Company Overview'!$T$14</definedName>
    <definedName name="_xlnm.Print_Area" localSheetId="1">'Company Overview'!$B$1:$V$72</definedName>
    <definedName name="_xlnm.Print_Area" localSheetId="3">'Company Score Card'!$B$1:$U$39</definedName>
    <definedName name="_xlnm.Print_Area" localSheetId="4">'ESG Considerations'!$B$1:$K$32</definedName>
    <definedName name="QLTY_BS_SUBSCORE">'Company Score Card'!$E$22</definedName>
    <definedName name="QLTY_FRCHS_SUBSCORE">'Company Score Card'!$E$12</definedName>
    <definedName name="QLTY_MGMT_SUBSCORE">'Company Score Card'!$E$17</definedName>
    <definedName name="QLTY_OVERALL_SCORE">'Company Score Card'!$E$11</definedName>
    <definedName name="RFR_INFLATION">'Company Overview'!$T$35</definedName>
    <definedName name="ROE_FY0">'Company Overview'!$T$46</definedName>
    <definedName name="ROIC_FY0">'Company Overview'!$T$53</definedName>
    <definedName name="ROICWACC_RATIO">'Company Overview'!$T$55</definedName>
    <definedName name="SEC_ANALYST">'Company Overview'!$F$5</definedName>
    <definedName name="SEC_CODE">'Company Overview'!$T$8</definedName>
    <definedName name="SEC_COUNTRY">'Company Overview'!$F$6</definedName>
    <definedName name="SEC_NAME">'Company Overview'!$F$1</definedName>
    <definedName name="SECTOR_PE">'Company Overview'!$T$61</definedName>
    <definedName name="SELL_TARGET">'Company Overview'!$T$15</definedName>
    <definedName name="SELL_TARGET_REPORTING_CCY">'Company Overview'!$T$16</definedName>
    <definedName name="STOCK_SCORE">'Company Score Card'!$E$9</definedName>
    <definedName name="TARGET_PE_MULTIPLE">'Company Overview'!$I$37</definedName>
    <definedName name="TARGET_PRICE_SECTOR_VALUE">'Company Overview'!$T$63</definedName>
    <definedName name="TARGET_PRICE_STATIC_VALUE">'Company Overview'!$T$50</definedName>
    <definedName name="TARGET_PRICE_UPSIDE">'Company Overview'!$T$17</definedName>
    <definedName name="TARGET_PRICE_UPSIDE_REPORTING_CCY">'Company Overview'!$T$18</definedName>
    <definedName name="tbo_textitem_10">'Company Score Card'!$I$17</definedName>
    <definedName name="tbo_textitem_11">'Company Score Card'!$I$22</definedName>
    <definedName name="tbo_textitem_12">'Company Score Card'!$I$28</definedName>
    <definedName name="tbo_textitem_13">'Company Score Card'!$I$30</definedName>
    <definedName name="tbo_textitem_14">'Company Score Card'!$I$32</definedName>
    <definedName name="tbo_textitem_15">'Company Score Card'!$I$35</definedName>
    <definedName name="tbo_textitem_16">'Company Score Card'!$I$37</definedName>
    <definedName name="tbo_textitem_17">'Company Score Card'!$I$39</definedName>
    <definedName name="tbo_textitem_18">'ESG Considerations'!$D$30</definedName>
    <definedName name="tbo_textitem_19">'ESG Considerations'!$D$31</definedName>
    <definedName name="tbo_textitem_20">'ESG Considerations'!$D$32</definedName>
    <definedName name="tbo_textitem_21">'Company Overview'!$D$68</definedName>
    <definedName name="tbo_textitem_22">'Company Overview'!$P$68</definedName>
    <definedName name="tbo_textitem_23">'Company Overview'!$D$71</definedName>
    <definedName name="tbo_textitem_24">'Company Overview'!$P$71</definedName>
    <definedName name="tbo_textitem_25">'Company Overview'!$B$9</definedName>
    <definedName name="tbo_textitem_26">'Company Overview'!$T$12</definedName>
    <definedName name="tbo_textitem_9">'Company Score Card'!$I$12</definedName>
    <definedName name="TEMPLATE_VERSION">Synapse_Upload_Data!$W$2</definedName>
    <definedName name="THREE_YEARS_AGO_DATE">'Company Overview'!$E$25</definedName>
    <definedName name="TRADING_CCY">'Company Overview'!$T$11</definedName>
    <definedName name="TWO_YEARS_AGO_DATE">'Company Overview'!$G$25</definedName>
    <definedName name="UPLD_ANALYTIC_DATA">Synapse_Upload_Data!$Q$16:$S$158,Synapse_Upload_Data!$Q$5:$S$5,Synapse_Upload_Data!$Q$3:$S$3</definedName>
    <definedName name="UPLD_APPLICABLE_FOR_LIGHT_COVERAGE">Synapse_Upload_Data!$S$135</definedName>
    <definedName name="UPLD_APPLICABLE_FOR_VALUATION_MODEL">Synapse_Upload_Data!$S$134</definedName>
    <definedName name="UPLD_BARINGS_12M_TARGET_SELL_PRICE">Synapse_Upload_Data!$S$84</definedName>
    <definedName name="UPLD_BARINGS_DISCOUNT_RATE">Synapse_Upload_Data!$S$93</definedName>
    <definedName name="UPLD_BUY_TARGET">Synapse_Upload_Data!$S$4</definedName>
    <definedName name="UPLD_BV_MULTI">Synapse_Upload_Data!$S$97</definedName>
    <definedName name="UPLD_BV_PS">Synapse_Upload_Data!$S$98</definedName>
    <definedName name="UPLD_CMP_PE_FY1">Synapse_Upload_Data!$S$104</definedName>
    <definedName name="UPLD_CMP_PE_RELATIVE">Synapse_Upload_Data!$S$105</definedName>
    <definedName name="UPLD_CMP_SPECIFIC">Synapse_Upload_Data!$S$91</definedName>
    <definedName name="UPLD_DIV_FREQ">Synapse_Upload_Data!$S$157</definedName>
    <definedName name="UPLD_DIVIDEND_12M_FWD_VALUE">Synapse_Upload_Data!$S$83</definedName>
    <definedName name="UPLD_DIVIDEND_YIELD_FY0">Synapse_Upload_Data!$S$22</definedName>
    <definedName name="UPLD_DPS_1Y">Synapse_Upload_Data!$S$46</definedName>
    <definedName name="UPLD_DPS_2Y">Synapse_Upload_Data!$S$45</definedName>
    <definedName name="UPLD_DPS_3Y">Synapse_Upload_Data!$S$44</definedName>
    <definedName name="UPLD_DPS_FY0">Synapse_Upload_Data!$S$47</definedName>
    <definedName name="UPLD_DPS_FY1">Synapse_Upload_Data!$S$48</definedName>
    <definedName name="UPLD_DPS_FY2">Synapse_Upload_Data!$S$49</definedName>
    <definedName name="UPLD_DPS_FY3">Synapse_Upload_Data!$S$50</definedName>
    <definedName name="UPLD_DPS_FY4">Synapse_Upload_Data!$S$51</definedName>
    <definedName name="UPLD_DPS_FY5">Synapse_Upload_Data!$S$52</definedName>
    <definedName name="UPLD_DPS_GRWTH_1Y">Synapse_Upload_Data!$S$54</definedName>
    <definedName name="UPLD_DPS_GRWTH_2Y">Synapse_Upload_Data!$S$53</definedName>
    <definedName name="UPLD_DPS_GRWTH_FY0">Synapse_Upload_Data!$S$55</definedName>
    <definedName name="UPLD_DPS_GRWTH_FY1">Synapse_Upload_Data!$S$56</definedName>
    <definedName name="UPLD_DPS_GRWTH_FY2">Synapse_Upload_Data!$S$57</definedName>
    <definedName name="UPLD_DPS_GRWTH_FY3">Synapse_Upload_Data!$S$58</definedName>
    <definedName name="UPLD_DPS_GRWTH_FY4">Synapse_Upload_Data!$S$59</definedName>
    <definedName name="UPLD_DPS_GRWTH_FY5">Synapse_Upload_Data!$S$60</definedName>
    <definedName name="UPLD_DPS_PAYOUT_1Y">Synapse_Upload_Data!$S$63</definedName>
    <definedName name="UPLD_DPS_PAYOUT_2Y">Synapse_Upload_Data!$S$62</definedName>
    <definedName name="UPLD_DPS_PAYOUT_3Y">Synapse_Upload_Data!$S$61</definedName>
    <definedName name="UPLD_DPS_PAYOUT_FY0">Synapse_Upload_Data!$S$64</definedName>
    <definedName name="UPLD_DPS_PAYOUT_FY1">Synapse_Upload_Data!$S$65</definedName>
    <definedName name="UPLD_DPS_PAYOUT_FY2">Synapse_Upload_Data!$S$66</definedName>
    <definedName name="UPLD_DPS_PAYOUT_FY3">Synapse_Upload_Data!$S$67</definedName>
    <definedName name="UPLD_DPS_PAYOUT_FY4">Synapse_Upload_Data!$S$68</definedName>
    <definedName name="UPLD_DPS_PAYOUT_FY5">Synapse_Upload_Data!$S$69</definedName>
    <definedName name="UPLD_EPS_12M_FWD_VALUE">Synapse_Upload_Data!$S$80</definedName>
    <definedName name="UPLD_EPS_1Y">Synapse_Upload_Data!$S$31</definedName>
    <definedName name="UPLD_EPS_2Y">Synapse_Upload_Data!$S$30</definedName>
    <definedName name="UPLD_EPS_3Y">Synapse_Upload_Data!$S$29</definedName>
    <definedName name="UPLD_EPS_5YR">Synapse_Upload_Data!$S$16</definedName>
    <definedName name="UPLD_EPS_5YR_DISCOUNTED">Synapse_Upload_Data!$S$79</definedName>
    <definedName name="UPLD_EPS_FY0">Synapse_Upload_Data!$S$32</definedName>
    <definedName name="UPLD_EPS_FY1">Synapse_Upload_Data!$S$6</definedName>
    <definedName name="UPLD_EPS_FY1_CONSENSUS">Synapse_Upload_Data!$S$23</definedName>
    <definedName name="UPLD_EPS_FY1_CONSENSUS_DATE">Synapse_Upload_Data!$S$26</definedName>
    <definedName name="UPLD_EPS_FY1_REPORT_CCY">Synapse_Upload_Data!$S$153</definedName>
    <definedName name="UPLD_EPS_FY2">Synapse_Upload_Data!$S$7</definedName>
    <definedName name="UPLD_EPS_FY2_CONSENSUS">Synapse_Upload_Data!$S$24</definedName>
    <definedName name="UPLD_EPS_FY2_CONSENSUS_DATE">Synapse_Upload_Data!$S$27</definedName>
    <definedName name="UPLD_EPS_FY2_REPORT_CCY">Synapse_Upload_Data!$S$154</definedName>
    <definedName name="UPLD_EPS_FY3">Synapse_Upload_Data!$S$33</definedName>
    <definedName name="UPLD_EPS_FY3_CONSENSUS">Synapse_Upload_Data!$S$25</definedName>
    <definedName name="UPLD_EPS_FY3_CONSENSUS_DATE">Synapse_Upload_Data!$S$28</definedName>
    <definedName name="UPLD_EPS_FY4">Synapse_Upload_Data!$S$34</definedName>
    <definedName name="UPLD_EPS_FY5">Synapse_Upload_Data!$S$35</definedName>
    <definedName name="UPLD_EPS_GRWTH_1Y">Synapse_Upload_Data!$S$37</definedName>
    <definedName name="UPLD_EPS_GRWTH_2Y">Synapse_Upload_Data!$S$36</definedName>
    <definedName name="UPLD_EPS_GRWTH_AVERAGE">Synapse_Upload_Data!$S$88</definedName>
    <definedName name="UPLD_EPS_GRWTH_CAGR_NEXT_5YRS">Synapse_Upload_Data!$S$87</definedName>
    <definedName name="UPLD_EPS_GRWTH_FY0">Synapse_Upload_Data!$S$38</definedName>
    <definedName name="UPLD_EPS_GRWTH_FY1">Synapse_Upload_Data!$S$39</definedName>
    <definedName name="UPLD_EPS_GRWTH_FY2">Synapse_Upload_Data!$S$40</definedName>
    <definedName name="UPLD_EPS_GRWTH_FY3">Synapse_Upload_Data!$S$41</definedName>
    <definedName name="UPLD_EPS_GRWTH_FY4">Synapse_Upload_Data!$S$42</definedName>
    <definedName name="UPLD_EPS_GRWTH_FY5">Synapse_Upload_Data!$S$43</definedName>
    <definedName name="UPLD_EPS_GRWTH_LAST_3YRS">Synapse_Upload_Data!$S$85</definedName>
    <definedName name="UPLD_EPS_GRWTH_NEXT_12M">Synapse_Upload_Data!$S$86</definedName>
    <definedName name="UPLD_EQUITY_12M_FWD_VALUE">Synapse_Upload_Data!$S$82</definedName>
    <definedName name="UPLD_ESG_IMPACT">Synapse_Upload_Data!$S$92</definedName>
    <definedName name="UPLD_ESG_KEY_ISSUE_1">Synapse_Upload_Data!$S$121</definedName>
    <definedName name="UPLD_ESG_KEY_ISSUE_2">Synapse_Upload_Data!$S$122</definedName>
    <definedName name="UPLD_ESG_KEY_ISSUE_3">Synapse_Upload_Data!$S$123</definedName>
    <definedName name="UPLD_ESG_KEY_ISSUE_4">Synapse_Upload_Data!$S$124</definedName>
    <definedName name="UPLD_ESG_KEY_ISSUE_5">Synapse_Upload_Data!$S$125</definedName>
    <definedName name="UPLD_ESG_KEY_ISSUE_6">Synapse_Upload_Data!$S$126</definedName>
    <definedName name="UPLD_ESG_KEY_ISSUE_7">Synapse_Upload_Data!$S$127</definedName>
    <definedName name="UPLD_ESG_KEY_ISSUE_8">Synapse_Upload_Data!$S$128</definedName>
    <definedName name="UPLD_ESG_KEY_ISSUE_9">Synapse_Upload_Data!$S$129</definedName>
    <definedName name="UPLD_FISCAL_YEAR_END">Synapse_Upload_Data!$S$139</definedName>
    <definedName name="UPLD_FY0_DATE">Synapse_Upload_Data!$S$143</definedName>
    <definedName name="UPLD_FY1_DATE">Synapse_Upload_Data!$S$144</definedName>
    <definedName name="UPLD_FY2_DATE">Synapse_Upload_Data!$S$145</definedName>
    <definedName name="UPLD_FY3_DATE">Synapse_Upload_Data!$S$146</definedName>
    <definedName name="UPLD_FY4_DATE">Synapse_Upload_Data!$S$147</definedName>
    <definedName name="UPLD_FY5_DATE">Synapse_Upload_Data!$S$148</definedName>
    <definedName name="UPLD_GRWTH_CAGR_NEXT_5YRS_SUBSCORE">Synapse_Upload_Data!$S$115</definedName>
    <definedName name="UPLD_GRWTH_LAST_3YRS_SUBSCORE">Synapse_Upload_Data!$S$113</definedName>
    <definedName name="UPLD_GRWTH_NEXT_12M_SUBSCORE">Synapse_Upload_Data!$S$114</definedName>
    <definedName name="UPLD_GRWTH_OVERALL_SCORE">Synapse_Upload_Data!$S$116</definedName>
    <definedName name="UPLD_LAST_PUBLISHED_DATE">Synapse_Upload_Data!$S$138</definedName>
    <definedName name="UPLD_LAST_SAVED_DATE">Synapse_Upload_Data!$S$137</definedName>
    <definedName name="UPLD_LATEST_DIV">Synapse_Upload_Data!$S$156</definedName>
    <definedName name="UPLD_LTIR">Synapse_Upload_Data!$S$96</definedName>
    <definedName name="UPLD_MARKET_VALUE">Synapse_Upload_Data!$S$21</definedName>
    <definedName name="UPLD_MRKT_RISK_PREM">Synapse_Upload_Data!$S$90</definedName>
    <definedName name="UPLD_ONE_YEAR_AGO_DATE">Synapse_Upload_Data!$S$142</definedName>
    <definedName name="UPLD_OPMARGIN_FY1">Synapse_Upload_Data!$S$10</definedName>
    <definedName name="UPLD_OPMARGIN_FY2">Synapse_Upload_Data!$S$11</definedName>
    <definedName name="UPLD_PART_OF_ANALYST_PLAYBOOK">Synapse_Upload_Data!$S$136</definedName>
    <definedName name="UPLD_PE_1Y">Synapse_Upload_Data!$S$72</definedName>
    <definedName name="UPLD_PE_2Y">Synapse_Upload_Data!$S$71</definedName>
    <definedName name="UPLD_PE_3Y">Synapse_Upload_Data!$S$70</definedName>
    <definedName name="UPLD_PE_FY0">Synapse_Upload_Data!$S$73</definedName>
    <definedName name="UPLD_PE_FY1">Synapse_Upload_Data!$S$74</definedName>
    <definedName name="UPLD_PE_FY2">Synapse_Upload_Data!$S$75</definedName>
    <definedName name="UPLD_PE_FY3">Synapse_Upload_Data!$S$76</definedName>
    <definedName name="UPLD_PE_FY4">Synapse_Upload_Data!$S$77</definedName>
    <definedName name="UPLD_PE_FY5">Synapse_Upload_Data!$S$78</definedName>
    <definedName name="UPLD_PRICE">Synapse_Upload_Data!$S$17</definedName>
    <definedName name="UPLD_PRICE_DATE">Synapse_Upload_Data!$S$18</definedName>
    <definedName name="UPLD_PRICE_IN_REPORTING_CCY">Synapse_Upload_Data!$S$151</definedName>
    <definedName name="UPLD_QLTY_BS_SUBSCORE">Synapse_Upload_Data!$S$111</definedName>
    <definedName name="UPLD_QLTY_FRCHS_SUBSCORE">Synapse_Upload_Data!$S$109</definedName>
    <definedName name="UPLD_QLTY_MGMT_SUBSCORE">Synapse_Upload_Data!$S$110</definedName>
    <definedName name="UPLD_QLTY_OVERALL_SCORE">Synapse_Upload_Data!$S$112</definedName>
    <definedName name="UPLD_REVENUE_FY1">Synapse_Upload_Data!$S$8</definedName>
    <definedName name="UPLD_REVENUE_FY2">Synapse_Upload_Data!$S$9</definedName>
    <definedName name="UPLD_RFR_INFLATION">Synapse_Upload_Data!$S$89</definedName>
    <definedName name="UPLD_ROE_FY0">Synapse_Upload_Data!$S$95</definedName>
    <definedName name="UPLD_ROE_FY1">Synapse_Upload_Data!$S$12</definedName>
    <definedName name="UPLD_ROE_FY2">Synapse_Upload_Data!$S$13</definedName>
    <definedName name="UPLD_ROIC_FY0">Synapse_Upload_Data!$S$101</definedName>
    <definedName name="UPLD_ROICWACC_RATIO">Synapse_Upload_Data!$S$103</definedName>
    <definedName name="UPLD_SECTOR_PE">Synapse_Upload_Data!$S$106</definedName>
    <definedName name="UPLD_SEDOL">Synapse_Upload_Data!$V$3</definedName>
    <definedName name="UPLD_SELL_TARGET">Synapse_Upload_Data!$S$5</definedName>
    <definedName name="UPLD_SELL_TARGET_REPORT_CCY">Synapse_Upload_Data!$S$149</definedName>
    <definedName name="UPLD_STOCK_SCORE">Synapse_Upload_Data!$S$3</definedName>
    <definedName name="UPLD_SUITABLE_ASIA">Synapse_Upload_Data!$S$132</definedName>
    <definedName name="UPLD_SUITABLE_CHINA">Synapse_Upload_Data!$S$133</definedName>
    <definedName name="UPLD_SUITABLE_DM">Synapse_Upload_Data!$S$130</definedName>
    <definedName name="UPLD_SUITABLE_EM">Synapse_Upload_Data!$S$131</definedName>
    <definedName name="UPLD_TARGET_PE_MULTIPLE">Synapse_Upload_Data!$S$81</definedName>
    <definedName name="UPLD_TARGET_PRICE_DOWNSIDE">Synapse_Upload_Data!$S$20</definedName>
    <definedName name="UPLD_TARGET_PRICE_SECTOR_VALUE">Synapse_Upload_Data!$S$107</definedName>
    <definedName name="UPLD_TARGET_PRICE_STATIC_VALUE">Synapse_Upload_Data!$S$99</definedName>
    <definedName name="UPLD_TARGET_PRICE_UPSIDE">Synapse_Upload_Data!$S$19</definedName>
    <definedName name="UPLD_TARGET_PRICE_UPSIDE_REPORT_CCY">Synapse_Upload_Data!$S$150</definedName>
    <definedName name="UPLD_TBO_TEXTITEM_1">Synapse_Upload_Data!$AA$3</definedName>
    <definedName name="UPLD_TBO_TEXTITEM_10">Synapse_Upload_Data!$AA$12</definedName>
    <definedName name="UPLD_TBO_TEXTITEM_11">Synapse_Upload_Data!$AA$13</definedName>
    <definedName name="UPLD_TBO_TEXTITEM_12">Synapse_Upload_Data!$AA$14</definedName>
    <definedName name="UPLD_TBO_TEXTITEM_13">Synapse_Upload_Data!$AA$15</definedName>
    <definedName name="UPLD_TBO_TEXTITEM_14">Synapse_Upload_Data!$AA$16</definedName>
    <definedName name="UPLD_TBO_TEXTITEM_15">Synapse_Upload_Data!$AA$17</definedName>
    <definedName name="UPLD_TBO_TEXTITEM_16">Synapse_Upload_Data!$AA$18</definedName>
    <definedName name="UPLD_TBO_TEXTITEM_17">Synapse_Upload_Data!$AA$19</definedName>
    <definedName name="UPLD_TBO_TEXTITEM_18">Synapse_Upload_Data!$AA$20</definedName>
    <definedName name="UPLD_TBO_TEXTITEM_19">Synapse_Upload_Data!$AA$21</definedName>
    <definedName name="UPLD_TBO_TEXTITEM_2">Synapse_Upload_Data!$AA$4</definedName>
    <definedName name="UPLD_TBO_TEXTITEM_20">Synapse_Upload_Data!$AA$22</definedName>
    <definedName name="UPLD_TBO_TEXTITEM_21">Synapse_Upload_Data!$AA$23</definedName>
    <definedName name="UPLD_TBO_TEXTITEM_22">Synapse_Upload_Data!$AA$24</definedName>
    <definedName name="UPLD_TBO_TEXTITEM_23">Synapse_Upload_Data!$AA$25</definedName>
    <definedName name="UPLD_TBO_TEXTITEM_24">Synapse_Upload_Data!$AA$26</definedName>
    <definedName name="UPLD_TBO_TEXTITEM_25">Synapse_Upload_Data!$AA$27</definedName>
    <definedName name="UPLD_TBO_TEXTITEM_26">Synapse_Upload_Data!$AA$28</definedName>
    <definedName name="UPLD_TBO_TEXTITEM_3">Synapse_Upload_Data!$AA$5</definedName>
    <definedName name="UPLD_TBO_TEXTITEM_4">Synapse_Upload_Data!$AA$6</definedName>
    <definedName name="UPLD_TBO_TEXTITEM_5">Synapse_Upload_Data!$AA$7</definedName>
    <definedName name="UPLD_TBO_TEXTITEM_6">Synapse_Upload_Data!$AA$8</definedName>
    <definedName name="UPLD_TBO_TEXTITEM_7">Synapse_Upload_Data!$AA$9</definedName>
    <definedName name="UPLD_TBO_TEXTITEM_8">Synapse_Upload_Data!$AA$10</definedName>
    <definedName name="UPLD_TBO_TEXTITEM_9">Synapse_Upload_Data!$AA$11</definedName>
    <definedName name="UPLD_TEXT_DATA">Synapse_Upload_Data!$X$3:$AA$28</definedName>
    <definedName name="UPLD_TEXTITEM_DATA">Synapse_Upload_Data!$X$11:$AA$28</definedName>
    <definedName name="UPLD_THREE_YEARS_AGO_DATE">Synapse_Upload_Data!$S$140</definedName>
    <definedName name="UPLD_TWO_YEARS_AGO_DATE">Synapse_Upload_Data!$S$141</definedName>
    <definedName name="UPLD_UPSIDE_EARN_VALUE">Synapse_Upload_Data!$S$94</definedName>
    <definedName name="UPLD_UPSIDE_SECTOR_VALUE">Synapse_Upload_Data!$S$108</definedName>
    <definedName name="UPLD_UPSIDE_STATIC_VALUE">Synapse_Upload_Data!$S$100</definedName>
    <definedName name="UPLD_VAL_DISC_EARNING_SUBSCORE">Synapse_Upload_Data!$S$119</definedName>
    <definedName name="UPLD_VAL_MRKT_MEASURE_SUBSCORE">Synapse_Upload_Data!$S$117</definedName>
    <definedName name="UPLD_VAL_OVERALL_SCORE">Synapse_Upload_Data!$S$120</definedName>
    <definedName name="UPLD_VAL_STATIC_MEASURE_SUBSCORE">Synapse_Upload_Data!$S$118</definedName>
    <definedName name="UPLD_WACC_FY0">Synapse_Upload_Data!$S$102</definedName>
    <definedName name="UPLD_XD_DATE">Synapse_Upload_Data!$S$155</definedName>
    <definedName name="UPLD_XD_DATE_PREV">Synapse_Upload_Data!$S$158</definedName>
    <definedName name="UPLD_XRATE_ON_PRICE_DATE_FROM_PRICE_TO_REPORT_CCY">Synapse_Upload_Data!$S$152</definedName>
    <definedName name="UPLD_YIELD_FY1">Synapse_Upload_Data!$S$14</definedName>
    <definedName name="UPLD_YIELD_FY2">Synapse_Upload_Data!$S$15</definedName>
    <definedName name="UPSIDE_EARN_VALUE">'Company Overview'!$T$42</definedName>
    <definedName name="UPSIDE_SECTOR_VALUE">'Company Overview'!$T$64</definedName>
    <definedName name="UPSIDE_STATIC_VALUE">'Company Overview'!$T$51</definedName>
    <definedName name="VAL_DISC_EARNING_SUBSCORE">'Company Score Card'!$E$39</definedName>
    <definedName name="VAL_MRKT_MEASURE_SUBSCORE">'Company Score Card'!$E$35</definedName>
    <definedName name="VAL_OVERALL_SCORE">'Company Score Card'!$E$34</definedName>
    <definedName name="VAL_STATIC_MEASURE_SUBSCORE">'Company Score Card'!$E$37</definedName>
    <definedName name="WACC_FY0">'Company Overview'!$T$54</definedName>
    <definedName name="XD_DATE">'Company Overview'!$Y$1</definedName>
    <definedName name="XD_DATE_PREV">'Company Overview'!$Y$2</definedName>
    <definedName name="XRATE_ON_PRICE_DATE_FROM_PRICE_TO_REPORT_CCY">'Company Overview'!$Y$7</definedName>
  </definedNames>
  <calcPr calcId="162913"/>
</workbook>
</file>

<file path=xl/calcChain.xml><?xml version="1.0" encoding="utf-8"?>
<calcChain xmlns="http://schemas.openxmlformats.org/spreadsheetml/2006/main">
  <c r="H165" i="104" l="1"/>
  <c r="H138" i="104" l="1"/>
  <c r="H139" i="104"/>
  <c r="I138" i="104"/>
  <c r="K83" i="104" l="1"/>
  <c r="N93" i="104"/>
  <c r="M93" i="104"/>
  <c r="J130" i="104"/>
  <c r="I134" i="104"/>
  <c r="H134" i="104"/>
  <c r="I144" i="104"/>
  <c r="P83" i="104" l="1"/>
  <c r="O83" i="104"/>
  <c r="S77" i="104"/>
  <c r="T77" i="104" s="1"/>
  <c r="E214" i="104" l="1"/>
  <c r="G214" i="104" s="1"/>
  <c r="D207" i="104" l="1"/>
  <c r="E207" i="104"/>
  <c r="F207" i="104"/>
  <c r="G207" i="104"/>
  <c r="H207" i="104"/>
  <c r="I207" i="104"/>
  <c r="J42" i="104"/>
  <c r="K42" i="104"/>
  <c r="L42" i="104"/>
  <c r="M42" i="104"/>
  <c r="N42" i="104"/>
  <c r="I42" i="104"/>
  <c r="I36" i="104" s="1"/>
  <c r="I26" i="104"/>
  <c r="J83" i="104"/>
  <c r="Q80" i="104"/>
  <c r="T69" i="104"/>
  <c r="V69" i="104" s="1"/>
  <c r="I90" i="104"/>
  <c r="I83" i="104"/>
  <c r="H57" i="104"/>
  <c r="K34" i="104"/>
  <c r="L34" i="104"/>
  <c r="M34" i="104"/>
  <c r="N34" i="104"/>
  <c r="J34" i="104"/>
  <c r="P140" i="104"/>
  <c r="H117" i="104"/>
  <c r="F117" i="104"/>
  <c r="E117" i="104"/>
  <c r="I117" i="104"/>
  <c r="J204" i="104"/>
  <c r="J173" i="104" s="1"/>
  <c r="I204" i="104"/>
  <c r="K203" i="104"/>
  <c r="L203" i="104" s="1"/>
  <c r="M203" i="104" s="1"/>
  <c r="N203" i="104" s="1"/>
  <c r="N204" i="104" s="1"/>
  <c r="J203" i="104"/>
  <c r="I192" i="104"/>
  <c r="J189" i="104"/>
  <c r="K189" i="104" s="1"/>
  <c r="L189" i="104" s="1"/>
  <c r="M189" i="104" s="1"/>
  <c r="N189" i="104" s="1"/>
  <c r="I174" i="104"/>
  <c r="L83" i="104"/>
  <c r="M83" i="104"/>
  <c r="N83" i="104"/>
  <c r="J207" i="104" l="1"/>
  <c r="K173" i="104"/>
  <c r="J174" i="104"/>
  <c r="L204" i="104"/>
  <c r="K204" i="104"/>
  <c r="M204" i="104"/>
  <c r="J36" i="104"/>
  <c r="L173" i="104" l="1"/>
  <c r="K174" i="104"/>
  <c r="K207" i="104"/>
  <c r="D200" i="104"/>
  <c r="L207" i="104" l="1"/>
  <c r="M173" i="104"/>
  <c r="L174" i="104"/>
  <c r="I27" i="104"/>
  <c r="I28" i="104" s="1"/>
  <c r="J28" i="104" s="1"/>
  <c r="K28" i="104" s="1"/>
  <c r="L28" i="104" s="1"/>
  <c r="M28" i="104" s="1"/>
  <c r="N28" i="104" s="1"/>
  <c r="I32" i="104"/>
  <c r="I34" i="104" s="1"/>
  <c r="G117" i="104"/>
  <c r="F185" i="104"/>
  <c r="E185" i="104"/>
  <c r="H185" i="104"/>
  <c r="G185" i="104"/>
  <c r="I51" i="104"/>
  <c r="S29" i="104"/>
  <c r="R29" i="104"/>
  <c r="H166" i="104"/>
  <c r="G166" i="104"/>
  <c r="F166" i="104"/>
  <c r="E166" i="104"/>
  <c r="E164" i="104"/>
  <c r="H162" i="104"/>
  <c r="Z172" i="104" s="1"/>
  <c r="G161" i="104"/>
  <c r="F161" i="104"/>
  <c r="F162" i="104" s="1"/>
  <c r="X172" i="104" s="1"/>
  <c r="H157" i="104"/>
  <c r="G157" i="104"/>
  <c r="F157" i="104"/>
  <c r="E157" i="104"/>
  <c r="H151" i="104"/>
  <c r="G151" i="104"/>
  <c r="F151" i="104"/>
  <c r="E151" i="104"/>
  <c r="F144" i="104"/>
  <c r="E144" i="104"/>
  <c r="P143" i="104"/>
  <c r="R140" i="104"/>
  <c r="Q140" i="104"/>
  <c r="N139" i="104"/>
  <c r="V138" i="104"/>
  <c r="V137" i="104"/>
  <c r="I137" i="104"/>
  <c r="AA136" i="104"/>
  <c r="Z136" i="104"/>
  <c r="Y136" i="104"/>
  <c r="X136" i="104"/>
  <c r="W136" i="104"/>
  <c r="H133" i="104"/>
  <c r="G133" i="104"/>
  <c r="F133" i="104"/>
  <c r="E133" i="104"/>
  <c r="T132" i="104"/>
  <c r="S132" i="104"/>
  <c r="R132" i="104"/>
  <c r="Q132" i="104"/>
  <c r="H132" i="104"/>
  <c r="G132" i="104"/>
  <c r="F132" i="104"/>
  <c r="E132" i="104"/>
  <c r="Q131" i="104"/>
  <c r="Q130" i="104"/>
  <c r="H130" i="104"/>
  <c r="G130" i="104"/>
  <c r="F130" i="104"/>
  <c r="F138" i="104" s="1"/>
  <c r="F139" i="104" s="1"/>
  <c r="E130" i="104"/>
  <c r="E138" i="104" s="1"/>
  <c r="E139" i="104" s="1"/>
  <c r="S129" i="104"/>
  <c r="R129" i="104"/>
  <c r="Q129" i="104"/>
  <c r="S128" i="104"/>
  <c r="R128" i="104"/>
  <c r="Q128" i="104"/>
  <c r="R126" i="104"/>
  <c r="R125" i="104"/>
  <c r="R130" i="104" s="1"/>
  <c r="T124" i="104"/>
  <c r="T129" i="104" s="1"/>
  <c r="T123" i="104"/>
  <c r="T128" i="104" s="1"/>
  <c r="Q121" i="104"/>
  <c r="R122" i="104" s="1"/>
  <c r="N119" i="104"/>
  <c r="M119" i="104"/>
  <c r="L119" i="104"/>
  <c r="K119" i="104"/>
  <c r="J119" i="104"/>
  <c r="I119" i="104"/>
  <c r="H119" i="104"/>
  <c r="G119" i="104"/>
  <c r="F119" i="104"/>
  <c r="E119" i="104"/>
  <c r="J116" i="104"/>
  <c r="J117" i="104" s="1"/>
  <c r="L93" i="104"/>
  <c r="K93" i="104"/>
  <c r="J93" i="104"/>
  <c r="I93" i="104"/>
  <c r="H93" i="104"/>
  <c r="G93" i="104"/>
  <c r="F93" i="104"/>
  <c r="E93" i="104"/>
  <c r="I92" i="104"/>
  <c r="H91" i="104"/>
  <c r="H94" i="104" s="1"/>
  <c r="G91" i="104"/>
  <c r="G94" i="104" s="1"/>
  <c r="F91" i="104"/>
  <c r="E91" i="104"/>
  <c r="E94" i="104" s="1"/>
  <c r="H87" i="104"/>
  <c r="G87" i="104"/>
  <c r="F87" i="104"/>
  <c r="E87" i="104"/>
  <c r="H83" i="104"/>
  <c r="G83" i="104"/>
  <c r="F83" i="104"/>
  <c r="E83" i="104"/>
  <c r="H80" i="104"/>
  <c r="F80" i="104"/>
  <c r="E80" i="104"/>
  <c r="J77" i="104"/>
  <c r="J90" i="104" s="1"/>
  <c r="H74" i="104"/>
  <c r="G74" i="104"/>
  <c r="F74" i="104"/>
  <c r="E74" i="104"/>
  <c r="H72" i="104"/>
  <c r="H75" i="104" s="1"/>
  <c r="I75" i="104" s="1"/>
  <c r="G72" i="104"/>
  <c r="G75" i="104" s="1"/>
  <c r="F72" i="104"/>
  <c r="F75" i="104" s="1"/>
  <c r="E72" i="104"/>
  <c r="N68" i="104"/>
  <c r="M68" i="104"/>
  <c r="L68" i="104"/>
  <c r="K68" i="104"/>
  <c r="J68" i="104"/>
  <c r="I68" i="104"/>
  <c r="H68" i="104"/>
  <c r="G68" i="104"/>
  <c r="F68" i="104"/>
  <c r="H65" i="104"/>
  <c r="G65" i="104"/>
  <c r="F65" i="104"/>
  <c r="E65" i="104"/>
  <c r="J62" i="104"/>
  <c r="H59" i="104"/>
  <c r="I59" i="104" s="1"/>
  <c r="J59" i="104" s="1"/>
  <c r="K59" i="104" s="1"/>
  <c r="L59" i="104" s="1"/>
  <c r="M59" i="104" s="1"/>
  <c r="N59" i="104" s="1"/>
  <c r="G59" i="104"/>
  <c r="F59" i="104"/>
  <c r="E59" i="104"/>
  <c r="G57" i="104"/>
  <c r="F57" i="104"/>
  <c r="E57" i="104"/>
  <c r="I56" i="104"/>
  <c r="H54" i="104"/>
  <c r="G54" i="104"/>
  <c r="F54" i="104"/>
  <c r="E54" i="104"/>
  <c r="H53" i="104"/>
  <c r="G53" i="104"/>
  <c r="F53" i="104"/>
  <c r="E53" i="104"/>
  <c r="H50" i="104"/>
  <c r="G50" i="104"/>
  <c r="F50" i="104"/>
  <c r="E50" i="104"/>
  <c r="H42" i="104"/>
  <c r="G42" i="104"/>
  <c r="F42" i="104"/>
  <c r="E42" i="104"/>
  <c r="H34" i="104"/>
  <c r="G34" i="104"/>
  <c r="F34" i="104"/>
  <c r="E34" i="104"/>
  <c r="H23" i="104"/>
  <c r="H26" i="104" s="1"/>
  <c r="G23" i="104"/>
  <c r="G26" i="104" s="1"/>
  <c r="F23" i="104"/>
  <c r="F26" i="104" s="1"/>
  <c r="E23" i="104"/>
  <c r="E26" i="104" s="1"/>
  <c r="D23" i="104"/>
  <c r="D26" i="104" s="1"/>
  <c r="I20" i="104"/>
  <c r="J20" i="104" s="1"/>
  <c r="K20" i="104" s="1"/>
  <c r="L20" i="104" s="1"/>
  <c r="M20" i="104" s="1"/>
  <c r="N20" i="104" s="1"/>
  <c r="N18" i="104"/>
  <c r="M18" i="104"/>
  <c r="L18" i="104"/>
  <c r="K18" i="104"/>
  <c r="J18" i="104"/>
  <c r="I18" i="104"/>
  <c r="I12" i="104" s="1"/>
  <c r="F18" i="104"/>
  <c r="H15" i="104"/>
  <c r="H18" i="104" s="1"/>
  <c r="G15" i="104"/>
  <c r="G18" i="104" s="1"/>
  <c r="F15" i="104"/>
  <c r="E15" i="104"/>
  <c r="E18" i="104" s="1"/>
  <c r="D15" i="104"/>
  <c r="D18" i="104" s="1"/>
  <c r="K62" i="104" l="1"/>
  <c r="K71" i="104" s="1"/>
  <c r="H145" i="104"/>
  <c r="P47" i="104"/>
  <c r="H152" i="104"/>
  <c r="H153" i="104"/>
  <c r="G197" i="104"/>
  <c r="F131" i="104"/>
  <c r="E152" i="104"/>
  <c r="H197" i="104"/>
  <c r="M207" i="104"/>
  <c r="N173" i="104"/>
  <c r="M174" i="104"/>
  <c r="F94" i="104"/>
  <c r="F152" i="104"/>
  <c r="F158" i="104"/>
  <c r="X138" i="104" s="1"/>
  <c r="G162" i="104"/>
  <c r="Y172" i="104" s="1"/>
  <c r="Y175" i="104" s="1"/>
  <c r="J12" i="104"/>
  <c r="J50" i="104" s="1"/>
  <c r="J53" i="104" s="1"/>
  <c r="I50" i="104"/>
  <c r="I53" i="104" s="1"/>
  <c r="I47" i="104" s="1"/>
  <c r="I132" i="104" s="1"/>
  <c r="I131" i="104"/>
  <c r="AA137" i="104" s="1"/>
  <c r="I130" i="104"/>
  <c r="J47" i="104"/>
  <c r="J132" i="104" s="1"/>
  <c r="E197" i="104"/>
  <c r="J71" i="104"/>
  <c r="E145" i="104"/>
  <c r="H131" i="104"/>
  <c r="Z137" i="104" s="1"/>
  <c r="J92" i="104"/>
  <c r="E142" i="104"/>
  <c r="F145" i="104"/>
  <c r="E153" i="104"/>
  <c r="E131" i="104"/>
  <c r="W137" i="104" s="1"/>
  <c r="F142" i="104"/>
  <c r="F153" i="104"/>
  <c r="H158" i="104"/>
  <c r="Z138" i="104" s="1"/>
  <c r="F197" i="104"/>
  <c r="J75" i="104"/>
  <c r="J74" i="104" s="1"/>
  <c r="I74" i="104"/>
  <c r="P74" i="104" s="1"/>
  <c r="G145" i="104"/>
  <c r="G158" i="104"/>
  <c r="Y138" i="104" s="1"/>
  <c r="G142" i="104"/>
  <c r="G139" i="104"/>
  <c r="G165" i="104"/>
  <c r="K12" i="104"/>
  <c r="R131" i="104"/>
  <c r="S126" i="104"/>
  <c r="X137" i="104"/>
  <c r="F134" i="104"/>
  <c r="K116" i="104"/>
  <c r="K117" i="104" s="1"/>
  <c r="I151" i="104"/>
  <c r="F165" i="104"/>
  <c r="F167" i="104"/>
  <c r="G153" i="104"/>
  <c r="G152" i="104"/>
  <c r="E162" i="104"/>
  <c r="E158" i="104"/>
  <c r="W138" i="104" s="1"/>
  <c r="H167" i="104"/>
  <c r="E75" i="104"/>
  <c r="H142" i="104"/>
  <c r="I141" i="104" s="1"/>
  <c r="I46" i="104"/>
  <c r="K77" i="104"/>
  <c r="K90" i="104" s="1"/>
  <c r="L62" i="104"/>
  <c r="G131" i="104"/>
  <c r="Q127" i="104"/>
  <c r="Q122" i="104"/>
  <c r="S125" i="104"/>
  <c r="R127" i="104"/>
  <c r="T49" i="79"/>
  <c r="V69" i="90"/>
  <c r="N65" i="90"/>
  <c r="R64" i="90"/>
  <c r="R67" i="90" s="1"/>
  <c r="S66" i="90" s="1"/>
  <c r="O59" i="90"/>
  <c r="O53" i="90"/>
  <c r="I50" i="90"/>
  <c r="F49" i="90"/>
  <c r="O47" i="90"/>
  <c r="C46" i="90"/>
  <c r="AD15" i="90"/>
  <c r="AA15" i="90"/>
  <c r="Z15" i="90"/>
  <c r="AG9" i="90"/>
  <c r="C6" i="90"/>
  <c r="O23" i="79"/>
  <c r="Y6" i="79"/>
  <c r="Y29" i="79"/>
  <c r="T23" i="79"/>
  <c r="O22" i="79"/>
  <c r="X14" i="79"/>
  <c r="Y2" i="79"/>
  <c r="Y1" i="79"/>
  <c r="T22" i="79"/>
  <c r="T21" i="79"/>
  <c r="Y4" i="79"/>
  <c r="T12" i="79"/>
  <c r="O21" i="79"/>
  <c r="F189" i="104" l="1"/>
  <c r="X173" i="104"/>
  <c r="F200" i="104"/>
  <c r="E167" i="104"/>
  <c r="W172" i="104"/>
  <c r="X175" i="104" s="1"/>
  <c r="J141" i="104"/>
  <c r="I145" i="104"/>
  <c r="E125" i="104"/>
  <c r="F125" i="104" s="1"/>
  <c r="B125" i="104"/>
  <c r="C125" i="104" s="1"/>
  <c r="Z175" i="104"/>
  <c r="G167" i="104"/>
  <c r="N207" i="104"/>
  <c r="N174" i="104"/>
  <c r="Z173" i="104"/>
  <c r="H189" i="104"/>
  <c r="H200" i="104"/>
  <c r="J46" i="104"/>
  <c r="L12" i="104"/>
  <c r="I58" i="104"/>
  <c r="I157" i="104" s="1"/>
  <c r="I162" i="104" s="1"/>
  <c r="K141" i="104"/>
  <c r="J58" i="104"/>
  <c r="J56" i="104"/>
  <c r="J151" i="104" s="1"/>
  <c r="J131" i="104"/>
  <c r="I153" i="104"/>
  <c r="I152" i="104"/>
  <c r="E134" i="104"/>
  <c r="L116" i="104"/>
  <c r="L117" i="104" s="1"/>
  <c r="G134" i="104"/>
  <c r="Y137" i="104"/>
  <c r="L77" i="104"/>
  <c r="K92" i="104"/>
  <c r="H176" i="104"/>
  <c r="H171" i="104"/>
  <c r="S130" i="104"/>
  <c r="T125" i="104"/>
  <c r="T130" i="104" s="1"/>
  <c r="S121" i="104"/>
  <c r="L71" i="104"/>
  <c r="M62" i="104"/>
  <c r="K36" i="104"/>
  <c r="K50" i="104" s="1"/>
  <c r="K53" i="104" s="1"/>
  <c r="K47" i="104" s="1"/>
  <c r="K131" i="104" s="1"/>
  <c r="F171" i="104"/>
  <c r="F176" i="104"/>
  <c r="E165" i="104"/>
  <c r="S131" i="104"/>
  <c r="T126" i="104"/>
  <c r="T131" i="104" s="1"/>
  <c r="K75" i="104"/>
  <c r="J73" i="104"/>
  <c r="S65" i="90"/>
  <c r="S64" i="90"/>
  <c r="F181" i="104" l="1"/>
  <c r="E189" i="104"/>
  <c r="W173" i="104"/>
  <c r="X176" i="104" s="1"/>
  <c r="E200" i="104"/>
  <c r="H181" i="104"/>
  <c r="G189" i="104"/>
  <c r="Y173" i="104"/>
  <c r="Y176" i="104" s="1"/>
  <c r="G200" i="104"/>
  <c r="E176" i="104"/>
  <c r="E181" i="104" s="1"/>
  <c r="G171" i="104"/>
  <c r="Z176" i="104"/>
  <c r="E171" i="104"/>
  <c r="G176" i="104"/>
  <c r="I164" i="104"/>
  <c r="I167" i="104" s="1"/>
  <c r="AA173" i="104" s="1"/>
  <c r="AA176" i="104" s="1"/>
  <c r="AA172" i="104"/>
  <c r="AA175" i="104" s="1"/>
  <c r="K56" i="104"/>
  <c r="K151" i="104" s="1"/>
  <c r="K130" i="104"/>
  <c r="L141" i="104" s="1"/>
  <c r="I158" i="104"/>
  <c r="AA138" i="104" s="1"/>
  <c r="M12" i="104"/>
  <c r="J157" i="104"/>
  <c r="J158" i="104" s="1"/>
  <c r="K132" i="104"/>
  <c r="K58" i="104"/>
  <c r="J138" i="104"/>
  <c r="J144" i="104" s="1"/>
  <c r="J145" i="104" s="1"/>
  <c r="J134" i="104"/>
  <c r="K138" i="104"/>
  <c r="L90" i="104"/>
  <c r="M77" i="104"/>
  <c r="J153" i="104"/>
  <c r="J152" i="104"/>
  <c r="I200" i="104"/>
  <c r="L75" i="104"/>
  <c r="K74" i="104"/>
  <c r="K73" i="104" s="1"/>
  <c r="N62" i="104"/>
  <c r="M71" i="104"/>
  <c r="T122" i="104"/>
  <c r="S122" i="104"/>
  <c r="T127" i="104"/>
  <c r="S127" i="104"/>
  <c r="L92" i="104"/>
  <c r="M116" i="104"/>
  <c r="M117" i="104" s="1"/>
  <c r="L36" i="104"/>
  <c r="L50" i="104" s="1"/>
  <c r="L53" i="104" s="1"/>
  <c r="L47" i="104" s="1"/>
  <c r="K46" i="104"/>
  <c r="S67" i="90"/>
  <c r="I176" i="104" l="1"/>
  <c r="I171" i="104"/>
  <c r="I188" i="104"/>
  <c r="I195" i="104" s="1"/>
  <c r="I185" i="104" s="1"/>
  <c r="I197" i="104" s="1"/>
  <c r="K152" i="104"/>
  <c r="N77" i="104"/>
  <c r="M92" i="104"/>
  <c r="K144" i="104"/>
  <c r="K145" i="104" s="1"/>
  <c r="L131" i="104"/>
  <c r="L132" i="104"/>
  <c r="K157" i="104"/>
  <c r="K162" i="104" s="1"/>
  <c r="G181" i="104"/>
  <c r="G178" i="104"/>
  <c r="H178" i="104"/>
  <c r="K134" i="104"/>
  <c r="F178" i="104"/>
  <c r="J137" i="104"/>
  <c r="J162" i="104"/>
  <c r="J164" i="104" s="1"/>
  <c r="J167" i="104" s="1"/>
  <c r="L56" i="104"/>
  <c r="L130" i="104"/>
  <c r="M141" i="104" s="1"/>
  <c r="L58" i="104"/>
  <c r="N12" i="104"/>
  <c r="M50" i="104"/>
  <c r="M53" i="104" s="1"/>
  <c r="M47" i="104" s="1"/>
  <c r="M56" i="104" s="1"/>
  <c r="K137" i="104"/>
  <c r="M90" i="104"/>
  <c r="K153" i="104"/>
  <c r="I181" i="104"/>
  <c r="I178" i="104"/>
  <c r="N116" i="104"/>
  <c r="N117" i="104" s="1"/>
  <c r="M75" i="104"/>
  <c r="L74" i="104"/>
  <c r="L73" i="104" s="1"/>
  <c r="N71" i="104"/>
  <c r="L46" i="104"/>
  <c r="M36" i="104"/>
  <c r="L151" i="104"/>
  <c r="T53" i="79"/>
  <c r="T46" i="79"/>
  <c r="O77" i="104" l="1"/>
  <c r="P77" i="104" s="1"/>
  <c r="Q77" i="104" s="1"/>
  <c r="N92" i="104"/>
  <c r="N157" i="104" s="1"/>
  <c r="K158" i="104"/>
  <c r="L134" i="104"/>
  <c r="J188" i="104"/>
  <c r="J200" i="104"/>
  <c r="L157" i="104"/>
  <c r="L158" i="104" s="1"/>
  <c r="L138" i="104"/>
  <c r="L144" i="104" s="1"/>
  <c r="L145" i="104" s="1"/>
  <c r="M131" i="104"/>
  <c r="M130" i="104"/>
  <c r="N141" i="104" s="1"/>
  <c r="M58" i="104"/>
  <c r="M132" i="104"/>
  <c r="N90" i="104"/>
  <c r="L152" i="104"/>
  <c r="L153" i="104"/>
  <c r="J171" i="104"/>
  <c r="J176" i="104"/>
  <c r="L162" i="104"/>
  <c r="M46" i="104"/>
  <c r="N36" i="104"/>
  <c r="N46" i="104" s="1"/>
  <c r="M74" i="104"/>
  <c r="M73" i="104" s="1"/>
  <c r="N75" i="104"/>
  <c r="N74" i="104" s="1"/>
  <c r="N73" i="104" s="1"/>
  <c r="M151" i="104"/>
  <c r="K164" i="104"/>
  <c r="K167" i="104" s="1"/>
  <c r="W80" i="104"/>
  <c r="G7" i="80"/>
  <c r="G6" i="80"/>
  <c r="G1" i="80"/>
  <c r="F7" i="79"/>
  <c r="F6" i="79"/>
  <c r="G5" i="80" s="1"/>
  <c r="F5" i="79"/>
  <c r="G4" i="80" s="1"/>
  <c r="F1" i="79"/>
  <c r="L137" i="104" l="1"/>
  <c r="N50" i="104"/>
  <c r="N53" i="104" s="1"/>
  <c r="N47" i="104" s="1"/>
  <c r="K188" i="104"/>
  <c r="K200" i="104"/>
  <c r="M134" i="104"/>
  <c r="M157" i="104"/>
  <c r="M158" i="104" s="1"/>
  <c r="M138" i="104"/>
  <c r="M144" i="104" s="1"/>
  <c r="M145" i="104" s="1"/>
  <c r="M152" i="104"/>
  <c r="M153" i="104"/>
  <c r="J178" i="104"/>
  <c r="K176" i="104"/>
  <c r="K171" i="104"/>
  <c r="L164" i="104"/>
  <c r="L167" i="104" s="1"/>
  <c r="E1" i="81"/>
  <c r="M162" i="104" l="1"/>
  <c r="N131" i="104"/>
  <c r="N58" i="104"/>
  <c r="N162" i="104" s="1"/>
  <c r="N164" i="104" s="1"/>
  <c r="N167" i="104" s="1"/>
  <c r="N132" i="104"/>
  <c r="N130" i="104"/>
  <c r="N56" i="104"/>
  <c r="N151" i="104" s="1"/>
  <c r="L188" i="104"/>
  <c r="L200" i="104"/>
  <c r="M137" i="104"/>
  <c r="K178" i="104"/>
  <c r="L176" i="104"/>
  <c r="L171" i="104"/>
  <c r="M164" i="104"/>
  <c r="M167" i="104" s="1"/>
  <c r="T8" i="79"/>
  <c r="N158" i="104" l="1"/>
  <c r="N153" i="104"/>
  <c r="N152" i="104"/>
  <c r="N138" i="104"/>
  <c r="N134" i="104"/>
  <c r="N188" i="104"/>
  <c r="N200" i="104"/>
  <c r="M188" i="104"/>
  <c r="M200" i="104"/>
  <c r="L178" i="104"/>
  <c r="N171" i="104"/>
  <c r="N176" i="104"/>
  <c r="M171" i="104"/>
  <c r="M176" i="104"/>
  <c r="S158" i="88"/>
  <c r="AA6" i="79"/>
  <c r="S157" i="88" s="1"/>
  <c r="S155" i="88"/>
  <c r="S156" i="88"/>
  <c r="N144" i="104" l="1"/>
  <c r="N145" i="104" s="1"/>
  <c r="N137" i="104"/>
  <c r="N178" i="104"/>
  <c r="M178" i="104"/>
  <c r="AD1" i="79"/>
  <c r="Y14" i="79" l="1"/>
  <c r="U3" i="80" l="1"/>
  <c r="T10" i="79" l="1"/>
  <c r="T9" i="79"/>
  <c r="AA22" i="88" l="1"/>
  <c r="AA21" i="88"/>
  <c r="AA20" i="88"/>
  <c r="AA19" i="88"/>
  <c r="AA18" i="88"/>
  <c r="AA17" i="88"/>
  <c r="AA16" i="88"/>
  <c r="AA15" i="88"/>
  <c r="AA14" i="88"/>
  <c r="AA13" i="88"/>
  <c r="AA23" i="88"/>
  <c r="AA11" i="88"/>
  <c r="AA12" i="88"/>
  <c r="S147" i="88" l="1"/>
  <c r="S146" i="88"/>
  <c r="S145" i="88"/>
  <c r="S144" i="88"/>
  <c r="S148" i="88"/>
  <c r="I25" i="80" l="1"/>
  <c r="I20" i="80"/>
  <c r="I15" i="80"/>
  <c r="T11" i="79" l="1"/>
  <c r="T7" i="79" l="1"/>
  <c r="Y7" i="79"/>
  <c r="T36" i="79" l="1"/>
  <c r="T35" i="79"/>
  <c r="U1" i="80"/>
  <c r="K1" i="81"/>
  <c r="Y15" i="79"/>
  <c r="Y16" i="79" s="1"/>
  <c r="Y17" i="79" s="1"/>
  <c r="Y18" i="79" s="1"/>
  <c r="Y19" i="79" s="1"/>
  <c r="Y20" i="79" s="1"/>
  <c r="Y21" i="79" s="1"/>
  <c r="T19" i="79"/>
  <c r="T13" i="79"/>
  <c r="Y13" i="79" l="1"/>
  <c r="Y12" i="79" s="1"/>
  <c r="Y11" i="79" s="1"/>
  <c r="Y10" i="79" s="1"/>
  <c r="Y9" i="79" s="1"/>
  <c r="T14" i="79"/>
  <c r="S136" i="88" l="1"/>
  <c r="S135" i="88"/>
  <c r="S134" i="88"/>
  <c r="S133" i="88"/>
  <c r="S132" i="88"/>
  <c r="S130" i="88"/>
  <c r="S131" i="88"/>
  <c r="S4" i="88" l="1"/>
  <c r="S102" i="88"/>
  <c r="S96" i="88"/>
  <c r="S91" i="88"/>
  <c r="S88" i="88"/>
  <c r="S20" i="88"/>
  <c r="S139" i="88" l="1"/>
  <c r="S106" i="88"/>
  <c r="S81" i="88"/>
  <c r="H12" i="81"/>
  <c r="G12" i="81" s="1"/>
  <c r="H13" i="81"/>
  <c r="G13" i="81" l="1"/>
  <c r="S122" i="88" s="1"/>
  <c r="S121" i="88"/>
  <c r="AA26" i="88" l="1"/>
  <c r="AA25" i="88"/>
  <c r="AA24" i="88"/>
  <c r="S18" i="88"/>
  <c r="V3" i="88"/>
  <c r="H24" i="81"/>
  <c r="H23" i="81"/>
  <c r="G23" i="81" s="1"/>
  <c r="H22" i="81"/>
  <c r="G22" i="81" s="1"/>
  <c r="H19" i="81"/>
  <c r="G19" i="81" s="1"/>
  <c r="H18" i="81"/>
  <c r="G18" i="81" s="1"/>
  <c r="H17" i="81"/>
  <c r="G17" i="81" s="1"/>
  <c r="H14" i="81"/>
  <c r="V12" i="79"/>
  <c r="G14" i="81" l="1"/>
  <c r="S123" i="88" s="1"/>
  <c r="G24" i="81"/>
  <c r="S129" i="88" s="1"/>
  <c r="S152" i="88"/>
  <c r="AA28" i="88"/>
  <c r="X26" i="79"/>
  <c r="B28" i="79"/>
  <c r="B26" i="79"/>
  <c r="X28" i="79"/>
  <c r="S89" i="88"/>
  <c r="K2" i="81"/>
  <c r="U2" i="80"/>
  <c r="S126" i="88"/>
  <c r="S128" i="88"/>
  <c r="S127" i="88"/>
  <c r="S124" i="88"/>
  <c r="S90" i="88"/>
  <c r="X15" i="79"/>
  <c r="X16" i="79" s="1"/>
  <c r="X17" i="79" s="1"/>
  <c r="X18" i="79" s="1"/>
  <c r="X19" i="79" s="1"/>
  <c r="X20" i="79" s="1"/>
  <c r="X21" i="79" s="1"/>
  <c r="X13" i="79"/>
  <c r="X12" i="79" s="1"/>
  <c r="X11" i="79" s="1"/>
  <c r="X10" i="79" s="1"/>
  <c r="X9" i="79" s="1"/>
  <c r="S143" i="88"/>
  <c r="S101" i="88"/>
  <c r="S119" i="88"/>
  <c r="S118" i="88"/>
  <c r="S117" i="88"/>
  <c r="S115" i="88"/>
  <c r="S113" i="88"/>
  <c r="S111" i="88"/>
  <c r="S110" i="88"/>
  <c r="F27" i="81" l="1"/>
  <c r="T38" i="79" s="1"/>
  <c r="S125" i="88"/>
  <c r="E27" i="80"/>
  <c r="S116" i="88" s="1"/>
  <c r="S95" i="88"/>
  <c r="S98" i="88"/>
  <c r="E11" i="80"/>
  <c r="S109" i="88"/>
  <c r="S114" i="88"/>
  <c r="E34" i="80"/>
  <c r="S120" i="88" s="1"/>
  <c r="N34" i="88"/>
  <c r="B9" i="79" s="1"/>
  <c r="AA27" i="88" s="1"/>
  <c r="S112" i="88" l="1"/>
  <c r="E9" i="80"/>
  <c r="S3" i="88" s="1"/>
  <c r="S23" i="88" l="1"/>
  <c r="S24" i="88"/>
  <c r="S25" i="88"/>
  <c r="M25" i="79"/>
  <c r="S17" i="88" l="1"/>
  <c r="S21" i="88"/>
  <c r="E25" i="79"/>
  <c r="S140" i="88" s="1"/>
  <c r="Z25" i="79" l="1"/>
  <c r="Z29" i="79"/>
  <c r="AA25" i="79" l="1"/>
  <c r="G25" i="79"/>
  <c r="S141" i="88" s="1"/>
  <c r="I25" i="79"/>
  <c r="S142" i="88" s="1"/>
  <c r="U25" i="79"/>
  <c r="S25" i="79"/>
  <c r="Q25" i="79"/>
  <c r="O25" i="79"/>
  <c r="AA29" i="79"/>
  <c r="AB25" i="79" l="1"/>
  <c r="AB29" i="79"/>
  <c r="AC25" i="79" l="1"/>
  <c r="AC29" i="79"/>
  <c r="AD25" i="79" l="1"/>
  <c r="AD29" i="79"/>
  <c r="AE25" i="79" l="1"/>
  <c r="S92" i="88"/>
  <c r="T48" i="79"/>
  <c r="S97" i="88" l="1"/>
  <c r="T50" i="79"/>
  <c r="T40" i="79"/>
  <c r="AF25" i="79"/>
  <c r="T55" i="79"/>
  <c r="S103" i="88" s="1"/>
  <c r="S93" i="88" l="1"/>
  <c r="S99" i="88"/>
  <c r="AG25" i="79"/>
  <c r="AH25" i="79" l="1"/>
  <c r="AI25" i="79" l="1"/>
  <c r="AJ25" i="79" l="1"/>
  <c r="AK25" i="79" s="1"/>
  <c r="AL25" i="79" s="1"/>
  <c r="AM25" i="79" s="1"/>
  <c r="AN25" i="79" s="1"/>
  <c r="AO25" i="79" s="1"/>
  <c r="AP25" i="79" s="1"/>
  <c r="AQ25" i="79" s="1"/>
  <c r="AR25" i="79" s="1"/>
  <c r="AS25" i="79" s="1"/>
  <c r="AT25" i="79" s="1"/>
  <c r="AU25" i="79" s="1"/>
  <c r="AV25" i="79" s="1"/>
  <c r="AW25" i="79" s="1"/>
  <c r="AX25" i="79" s="1"/>
  <c r="AY25" i="79" s="1"/>
  <c r="AZ25" i="79" s="1"/>
  <c r="BA25" i="79" s="1"/>
  <c r="BB25" i="79" s="1"/>
  <c r="BC25" i="79" s="1"/>
  <c r="BD25" i="79" s="1"/>
  <c r="BE25" i="79" s="1"/>
  <c r="BF25" i="79" s="1"/>
  <c r="BG25" i="79" s="1"/>
  <c r="BH25" i="79" s="1"/>
  <c r="BI25" i="79" s="1"/>
  <c r="BJ25" i="79" s="1"/>
  <c r="BK25" i="79" s="1"/>
  <c r="BL25" i="79" s="1"/>
  <c r="BM25" i="79" s="1"/>
  <c r="BN25" i="79" s="1"/>
  <c r="BO25" i="79" s="1"/>
  <c r="BP25" i="79" s="1"/>
  <c r="BQ25" i="79" s="1"/>
  <c r="BR25" i="79" s="1"/>
  <c r="BS25" i="79" s="1"/>
  <c r="BT25" i="79" s="1"/>
  <c r="BU25" i="79" s="1"/>
  <c r="BV25" i="79" s="1"/>
  <c r="BW25" i="79" s="1"/>
  <c r="BX25" i="79" s="1"/>
  <c r="BY25" i="79" s="1"/>
  <c r="BZ25" i="79" s="1"/>
  <c r="CA25" i="79" s="1"/>
  <c r="U26" i="79" l="1"/>
  <c r="E28" i="79"/>
  <c r="S44" i="88" s="1"/>
  <c r="K28" i="79"/>
  <c r="E26" i="79"/>
  <c r="M26" i="79"/>
  <c r="G26" i="79"/>
  <c r="I26" i="79"/>
  <c r="U28" i="79"/>
  <c r="I28" i="79"/>
  <c r="S46" i="88" s="1"/>
  <c r="Q26" i="79"/>
  <c r="M28" i="79"/>
  <c r="Q28" i="79"/>
  <c r="S50" i="88" s="1"/>
  <c r="O28" i="79"/>
  <c r="S49" i="88" s="1"/>
  <c r="S28" i="79"/>
  <c r="S51" i="88" s="1"/>
  <c r="S26" i="79"/>
  <c r="K26" i="79"/>
  <c r="G28" i="79"/>
  <c r="S45" i="88" s="1"/>
  <c r="O26" i="79"/>
  <c r="I46" i="79" l="1"/>
  <c r="S48" i="88"/>
  <c r="Y5" i="79"/>
  <c r="I39" i="79" s="1"/>
  <c r="S83" i="88" s="1"/>
  <c r="I48" i="79"/>
  <c r="S16" i="88" s="1"/>
  <c r="I35" i="79"/>
  <c r="S31" i="88"/>
  <c r="I27" i="79"/>
  <c r="S37" i="88" s="1"/>
  <c r="S32" i="88"/>
  <c r="K27" i="79"/>
  <c r="S38" i="88" s="1"/>
  <c r="S34" i="88"/>
  <c r="S27" i="79"/>
  <c r="S42" i="88" s="1"/>
  <c r="S154" i="88"/>
  <c r="O27" i="79"/>
  <c r="S40" i="88" s="1"/>
  <c r="S30" i="88"/>
  <c r="G27" i="79"/>
  <c r="S36" i="88" s="1"/>
  <c r="S52" i="88"/>
  <c r="S33" i="88"/>
  <c r="Q27" i="79"/>
  <c r="S41" i="88" s="1"/>
  <c r="S153" i="88"/>
  <c r="M27" i="79"/>
  <c r="S35" i="88"/>
  <c r="U27" i="79"/>
  <c r="S43" i="88" s="1"/>
  <c r="S47" i="88"/>
  <c r="T20" i="79"/>
  <c r="S22" i="88" s="1"/>
  <c r="S29" i="88"/>
  <c r="U29" i="79"/>
  <c r="S60" i="88" s="1"/>
  <c r="U30" i="79"/>
  <c r="S69" i="88" s="1"/>
  <c r="K29" i="79"/>
  <c r="S55" i="88" s="1"/>
  <c r="K30" i="79"/>
  <c r="S64" i="88" s="1"/>
  <c r="Q29" i="79"/>
  <c r="S58" i="88" s="1"/>
  <c r="Q30" i="79"/>
  <c r="S67" i="88" s="1"/>
  <c r="M30" i="79"/>
  <c r="S65" i="88" s="1"/>
  <c r="M29" i="79"/>
  <c r="S56" i="88" s="1"/>
  <c r="S29" i="79"/>
  <c r="S59" i="88" s="1"/>
  <c r="S30" i="79"/>
  <c r="S68" i="88" s="1"/>
  <c r="E30" i="79"/>
  <c r="S61" i="88" s="1"/>
  <c r="G30" i="79"/>
  <c r="S62" i="88" s="1"/>
  <c r="G29" i="79"/>
  <c r="S53" i="88" s="1"/>
  <c r="O30" i="79"/>
  <c r="S66" i="88" s="1"/>
  <c r="O29" i="79"/>
  <c r="S57" i="88" s="1"/>
  <c r="I30" i="79"/>
  <c r="S63" i="88" s="1"/>
  <c r="I29" i="79"/>
  <c r="S54" i="88" s="1"/>
  <c r="T59" i="79"/>
  <c r="T63" i="79" s="1"/>
  <c r="S39" i="88" l="1"/>
  <c r="I47" i="79"/>
  <c r="S87" i="88"/>
  <c r="G32" i="80"/>
  <c r="S85" i="88"/>
  <c r="G28" i="80"/>
  <c r="I36" i="79"/>
  <c r="S79" i="88"/>
  <c r="S107" i="88"/>
  <c r="S86" i="88" l="1"/>
  <c r="G30" i="80"/>
  <c r="I38" i="79"/>
  <c r="I40" i="79" s="1"/>
  <c r="S80" i="88"/>
  <c r="S82" i="88" l="1"/>
  <c r="T16" i="79" l="1"/>
  <c r="S84" i="88"/>
  <c r="T15" i="79"/>
  <c r="U4" i="80" l="1"/>
  <c r="T18" i="79"/>
  <c r="S31" i="79"/>
  <c r="S77" i="88" s="1"/>
  <c r="K31" i="79"/>
  <c r="S73" i="88" s="1"/>
  <c r="I31" i="79"/>
  <c r="S72" i="88" s="1"/>
  <c r="S151" i="88"/>
  <c r="O31" i="79"/>
  <c r="S75" i="88" s="1"/>
  <c r="G31" i="79"/>
  <c r="S71" i="88" s="1"/>
  <c r="U31" i="79"/>
  <c r="S78" i="88" s="1"/>
  <c r="M31" i="79"/>
  <c r="E31" i="79"/>
  <c r="S70" i="88" s="1"/>
  <c r="Q31" i="79"/>
  <c r="S76" i="88" s="1"/>
  <c r="T64" i="79"/>
  <c r="G35" i="80" s="1"/>
  <c r="T51" i="79"/>
  <c r="G37" i="80" s="1"/>
  <c r="T42" i="79"/>
  <c r="S94" i="88" s="1"/>
  <c r="S149" i="88"/>
  <c r="S5" i="88"/>
  <c r="T17" i="79"/>
  <c r="U5" i="80" s="1"/>
  <c r="S100" i="88" l="1"/>
  <c r="S74" i="88"/>
  <c r="T60" i="79"/>
  <c r="S108" i="88"/>
  <c r="S19" i="88"/>
  <c r="T62" i="79" l="1"/>
  <c r="S105" i="88" s="1"/>
  <c r="S104" i="88"/>
  <c r="G39" i="80"/>
  <c r="S150" i="88"/>
  <c r="J179" i="104"/>
  <c r="J192" i="104" s="1"/>
  <c r="J195" i="104" s="1"/>
  <c r="J185" i="104" s="1"/>
  <c r="K181" i="104"/>
  <c r="K179" i="104" s="1"/>
  <c r="K192" i="104" s="1"/>
  <c r="K195" i="104" s="1"/>
  <c r="L181" i="104"/>
  <c r="K185" i="104" l="1"/>
  <c r="M181" i="104"/>
  <c r="L179" i="104"/>
  <c r="L192" i="104" s="1"/>
  <c r="L195" i="104" s="1"/>
  <c r="L185" i="104" s="1"/>
  <c r="N181" i="104" l="1"/>
  <c r="N179" i="104" s="1"/>
  <c r="N192" i="104" s="1"/>
  <c r="N195" i="104" s="1"/>
  <c r="M179" i="104"/>
  <c r="M192" i="104" s="1"/>
  <c r="M195" i="104" s="1"/>
  <c r="M185" i="104" s="1"/>
  <c r="N185" i="104" l="1"/>
</calcChain>
</file>

<file path=xl/comments1.xml><?xml version="1.0" encoding="utf-8"?>
<comments xmlns="http://schemas.openxmlformats.org/spreadsheetml/2006/main">
  <authors>
    <author>James Govan</author>
  </authors>
  <commentList>
    <comment ref="A1" authorId="0" shapeId="0">
      <text>
        <r>
          <rPr>
            <b/>
            <sz val="9"/>
            <color indexed="81"/>
            <rFont val="Tahoma"/>
            <charset val="1"/>
          </rPr>
          <t>&lt;?xml version="1.0" encoding="utf-8"?&gt;&lt;Schema xmlns:xsi="http://www.w3.org/2001/XMLSchema-instance" xmlns:xsd="http://www.w3.org/2001/XMLSchema" Version="1"&gt;&lt;FQL&gt;&lt;Q&gt;B0HZL93^IC_CURRENCY(0)&lt;/Q&gt;&lt;R&gt;1&lt;/R&gt;&lt;C&gt;1&lt;/C&gt;&lt;D xsi:type="xsd:string"&gt;EUR&lt;/D&gt;&lt;/FQL&gt;&lt;FQL&gt;&lt;Q&gt;B0HZL93^AVAIL(WSF_CURN_DOC(ANN_R,0),IC_CURRENCY_ISO)&lt;/Q&gt;&lt;R&gt;1&lt;/R&gt;&lt;C&gt;1&lt;/C&gt;&lt;D xsi:type="xsd:string"&gt;EUR&lt;/D&gt;&lt;/FQL&gt;&lt;FQL&gt;&lt;Q&gt;B0HZL93^IC_ESTIMATE(EPS,MEAN,ANN,2019)&lt;/Q&gt;&lt;R&gt;1&lt;/R&gt;&lt;C&gt;1&lt;/C&gt;&lt;D xsi:type="xsd:double"&gt;4.999&lt;/D&gt;&lt;/FQL&gt;&lt;FQL&gt;&lt;Q&gt;B0HZL93^P_DIVS_PD(1,,,,"EXDATEI")&lt;/Q&gt;&lt;R&gt;0&lt;/R&gt;&lt;C&gt;0&lt;/C&gt;&lt;/FQL&gt;&lt;FQL&gt;&lt;Q&gt;B0HZL93^P_DIVS_PD(0,,,,"EXDATEI")&lt;/Q&gt;&lt;R&gt;1&lt;/R&gt;&lt;C&gt;1&lt;/C&gt;&lt;D xsi:type="xsd:string"&gt;05/08/2019&lt;/D&gt;&lt;/FQL&gt;&lt;FQL&gt;&lt;Q&gt;B0HZL93^IC_ESTIMATE(EPS,MEAN,ANN,2021)&lt;/Q&gt;&lt;R&gt;1&lt;/R&gt;&lt;C&gt;1&lt;/C&gt;&lt;D xsi:type="xsd:double"&gt;6.2&lt;/D&gt;&lt;/FQL&gt;&lt;FQL&gt;&lt;Q&gt;B0HZL93^P_DIVS_PD(1)&lt;/Q&gt;&lt;R&gt;1&lt;/R&gt;&lt;C&gt;1&lt;/C&gt;&lt;D xsi:type="xsd:double"&gt;0&lt;/D&gt;&lt;/FQL&gt;&lt;FQL&gt;&lt;Q&gt;B0HZL93^ISAV(AVAIL(WSF_FISCAL_DATE(ANN,0,,,RP,"DATEI"),CONVERT_DATE(ICA_FISCAL_YR_ACT,"DD/MM/YYYY")))&lt;/Q&gt;&lt;R&gt;1&lt;/R&gt;&lt;C&gt;1&lt;/C&gt;&lt;D xsi:type="xsd:int"&gt;1&lt;/D&gt;&lt;/FQL&gt;&lt;FQL&gt;&lt;Q&gt;B0HZL93^AVAIL(WSF_FISCAL_DATE(ANN,0,,,RP,"DATEI"),CONVERT_DATE(ICA_FISCAL_YR_ACT,"DD/MM/YYYY"))&lt;/Q&gt;&lt;R&gt;1&lt;/R&gt;&lt;C&gt;1&lt;/C&gt;&lt;D xsi:type="xsd:string"&gt;31/12/2018&lt;/D&gt;&lt;/FQL&gt;&lt;FQL&gt;&lt;Q&gt;B0HZL93^WSF_DIV_RPT_FREQ(ANN,0)&lt;/Q&gt;&lt;R&gt;1&lt;/R&gt;&lt;C&gt;1&lt;/C&gt;&lt;D xsi:type="xsd:string"&gt;2&lt;/D&gt;&lt;/FQL&gt;&lt;FQL&gt;&lt;Q&gt;B0HZL93^IC_ESTIMATE(EPS,MEAN,ANN,2020)&lt;/Q&gt;&lt;R&gt;1&lt;/R&gt;&lt;C&gt;1&lt;/C&gt;&lt;D xsi:type="xsd:double"&gt;5.691&lt;/D&gt;&lt;/FQL&gt;&lt;FQL&gt;&lt;Q&gt;B0HZL93^WS_ACTG_STANDARDS(42369)&lt;/Q&gt;&lt;R&gt;1&lt;/R&gt;&lt;C&gt;1&lt;/C&gt;&lt;D xsi:type="xsd:string"&gt;IFRS&lt;/D&gt;&lt;/FQL&gt;&lt;FQL&gt;&lt;Q&gt;B0HZL93^WS_ACTG_STANDARDS(43830)&lt;/Q&gt;&lt;R&gt;0&lt;/R&gt;&lt;C&gt;0&lt;/C&gt;&lt;/FQL&gt;&lt;FQL&gt;&lt;Q&gt;B0HZL93^WS_ACTG_STANDARDS(42735)&lt;/Q&gt;&lt;R&gt;1&lt;/R&gt;&lt;C&gt;1&lt;/C&gt;&lt;D xsi:type="xsd:string"&gt;IFRS&lt;/D&gt;&lt;/FQL&gt;&lt;FQL&gt;&lt;Q&gt;B0HZL93^WS_ACTG_STANDARDS(44196)&lt;/Q&gt;&lt;R&gt;0&lt;/R&gt;&lt;C&gt;0&lt;/C&gt;&lt;/FQL&gt;&lt;FQL&gt;&lt;Q&gt;B0HZL93^WS_ACTG_STANDARDS(43100)&lt;/Q&gt;&lt;R&gt;1&lt;/R&gt;&lt;C&gt;1&lt;/C&gt;&lt;D xsi:type="xsd:string"&gt;IFRS&lt;/D&gt;&lt;/FQL&gt;&lt;FQL&gt;&lt;Q&gt;B0HZL93^WS_ACTG_STANDARDS(43465)&lt;/Q&gt;&lt;R&gt;1&lt;/R&gt;&lt;C&gt;1&lt;/C&gt;&lt;D xsi:type="xsd:string"&gt;IFRS&lt;/D&gt;&lt;/FQL&gt;&lt;FQL&gt;&lt;Q&gt;B0HZL93^P_MARKET_VAL(43688,,,WSF_CURN_DOC)&lt;/Q&gt;&lt;R&gt;1&lt;/R&gt;&lt;C&gt;1&lt;/C&gt;&lt;D xsi:type="xsd:double"&gt;20265.171383&lt;/D&gt;&lt;/FQL&gt;&lt;FQL&gt;&lt;Q&gt;B0HZL93^P_PRICE(43688)&lt;/Q&gt;&lt;R&gt;1&lt;/R&gt;&lt;C&gt;1&lt;/C&gt;&lt;D xsi:type="xsd:double"&gt;111.7&lt;/D&gt;&lt;/FQL&gt;&lt;FQL&gt;&lt;Q&gt;B0HZL93^P_EXCH_RATE(P_CURRENCY("ISO"),EUR,43688)&lt;/Q&gt;&lt;R&gt;1&lt;/R&gt;&lt;C&gt;1&lt;/C&gt;&lt;D xsi:type="xsd:double"&gt;1&lt;/D&gt;&lt;/FQL&gt;&lt;FQL&gt;&lt;Q&gt;B0HZL93^P_EXCH_RATE(EUR,P_CURRENCY("ISO"),43688)&lt;/Q&gt;&lt;R&gt;1&lt;/R&gt;&lt;C&gt;1&lt;/C&gt;&lt;D xsi:type="xsd:double"&gt;1&lt;/D&gt;&lt;/FQL&gt;&lt;/Schema&gt;</t>
        </r>
      </text>
    </comment>
  </commentList>
</comments>
</file>

<file path=xl/comments2.xml><?xml version="1.0" encoding="utf-8"?>
<comments xmlns="http://schemas.openxmlformats.org/spreadsheetml/2006/main">
  <authors>
    <author>Marios Halloumis</author>
  </authors>
  <commentList>
    <comment ref="Y4" authorId="0" shapeId="0">
      <text>
        <r>
          <rPr>
            <sz val="7"/>
            <color indexed="81"/>
            <rFont val="Tahoma"/>
            <family val="2"/>
          </rPr>
          <t xml:space="preserve">If not populated already, please populate with the value of any </t>
        </r>
        <r>
          <rPr>
            <b/>
            <u/>
            <sz val="7"/>
            <color indexed="81"/>
            <rFont val="Tahoma"/>
            <family val="2"/>
          </rPr>
          <t>FY0</t>
        </r>
        <r>
          <rPr>
            <sz val="7"/>
            <color indexed="81"/>
            <rFont val="Tahoma"/>
            <family val="2"/>
          </rPr>
          <t xml:space="preserve"> declared dividend that </t>
        </r>
        <r>
          <rPr>
            <b/>
            <u/>
            <sz val="7"/>
            <color indexed="81"/>
            <rFont val="Tahoma"/>
            <family val="2"/>
          </rPr>
          <t>has not passed</t>
        </r>
        <r>
          <rPr>
            <sz val="7"/>
            <color indexed="81"/>
            <rFont val="Tahoma"/>
            <family val="2"/>
          </rPr>
          <t xml:space="preserve"> its XD date yet. This will be added to your dividend stream when calculating the present value of all dividends.</t>
        </r>
        <r>
          <rPr>
            <sz val="9"/>
            <color indexed="81"/>
            <rFont val="Tahoma"/>
            <family val="2"/>
          </rPr>
          <t xml:space="preserve">
</t>
        </r>
      </text>
    </comment>
    <comment ref="Y5" authorId="0" shapeId="0">
      <text>
        <r>
          <rPr>
            <sz val="7"/>
            <color indexed="81"/>
            <rFont val="Tahoma"/>
            <family val="2"/>
          </rPr>
          <t>If not populated already, please populate with the sum of the dividends for</t>
        </r>
        <r>
          <rPr>
            <b/>
            <u/>
            <sz val="7"/>
            <color indexed="81"/>
            <rFont val="Tahoma"/>
            <family val="2"/>
          </rPr>
          <t xml:space="preserve"> FY1</t>
        </r>
        <r>
          <rPr>
            <sz val="7"/>
            <color indexed="81"/>
            <rFont val="Tahoma"/>
            <family val="2"/>
          </rPr>
          <t>, which have</t>
        </r>
        <r>
          <rPr>
            <b/>
            <sz val="7"/>
            <color indexed="81"/>
            <rFont val="Tahoma"/>
            <family val="2"/>
          </rPr>
          <t xml:space="preserve"> </t>
        </r>
        <r>
          <rPr>
            <b/>
            <u/>
            <sz val="7"/>
            <color indexed="81"/>
            <rFont val="Tahoma"/>
            <family val="2"/>
          </rPr>
          <t>already passed</t>
        </r>
        <r>
          <rPr>
            <sz val="7"/>
            <color indexed="81"/>
            <rFont val="Tahoma"/>
            <family val="2"/>
          </rPr>
          <t xml:space="preserve"> their XD dates. For example, if the company pays a quarterly dividend and we have passed all three XD dates for FY1, then populate the amount of D1+D2+D3. These will be removed from you dividend steam when calculating the present value of all dividends. 
</t>
        </r>
      </text>
    </comment>
  </commentList>
</comments>
</file>

<file path=xl/comments3.xml><?xml version="1.0" encoding="utf-8"?>
<comments xmlns="http://schemas.openxmlformats.org/spreadsheetml/2006/main">
  <authors>
    <author>Ogundiran, Temi</author>
    <author>Richard Holroyd</author>
  </authors>
  <commentList>
    <comment ref="I57" authorId="0" shapeId="0">
      <text>
        <r>
          <rPr>
            <b/>
            <sz val="9"/>
            <color indexed="81"/>
            <rFont val="Tahoma"/>
            <family val="2"/>
          </rPr>
          <t>Ogundiran, Temi:</t>
        </r>
        <r>
          <rPr>
            <sz val="9"/>
            <color indexed="81"/>
            <rFont val="Tahoma"/>
            <family val="2"/>
          </rPr>
          <t xml:space="preserve">
based on the 2019 H1 results which are 21.1%</t>
        </r>
      </text>
    </comment>
    <comment ref="F68" authorId="0" shapeId="0">
      <text>
        <r>
          <rPr>
            <b/>
            <sz val="9"/>
            <color indexed="81"/>
            <rFont val="Tahoma"/>
            <family val="2"/>
          </rPr>
          <t>Ogundiran, Temi:</t>
        </r>
        <r>
          <rPr>
            <sz val="9"/>
            <color indexed="81"/>
            <rFont val="Tahoma"/>
            <family val="2"/>
          </rPr>
          <t xml:space="preserve">
https://www.dsm.com/corporate/media/informationcenter-pub/2017/02/financial-results-q4-fy-2016.html </t>
        </r>
      </text>
    </comment>
    <comment ref="G68" authorId="0" shapeId="0">
      <text>
        <r>
          <rPr>
            <b/>
            <sz val="9"/>
            <color indexed="81"/>
            <rFont val="Tahoma"/>
            <family val="2"/>
          </rPr>
          <t>Ogundiran, Temi:</t>
        </r>
        <r>
          <rPr>
            <sz val="9"/>
            <color indexed="81"/>
            <rFont val="Tahoma"/>
            <family val="2"/>
          </rPr>
          <t xml:space="preserve">
fro, presentation to investors fy 17</t>
        </r>
      </text>
    </comment>
    <comment ref="I73" authorId="0" shapeId="0">
      <text>
        <r>
          <rPr>
            <b/>
            <sz val="9"/>
            <color indexed="81"/>
            <rFont val="Tahoma"/>
            <family val="2"/>
          </rPr>
          <t>Ogundiran, Temi:</t>
        </r>
        <r>
          <rPr>
            <sz val="9"/>
            <color indexed="81"/>
            <rFont val="Tahoma"/>
            <family val="2"/>
          </rPr>
          <t xml:space="preserve">
q2 2018 adj ebit(104) is more tha  2019 (100). Si there is a 3% reduction in adj EBIt for h1 19 (193) compared to last year(199). Totla year for 2018 was 383 which is roughly 2*(H1 2018 results(199))</t>
        </r>
      </text>
    </comment>
    <comment ref="H79" authorId="0" shapeId="0">
      <text>
        <r>
          <rPr>
            <b/>
            <sz val="9"/>
            <color indexed="81"/>
            <rFont val="Tahoma"/>
            <family val="2"/>
          </rPr>
          <t>Ogundiran, Temi:</t>
        </r>
        <r>
          <rPr>
            <sz val="9"/>
            <color indexed="81"/>
            <rFont val="Tahoma"/>
            <family val="2"/>
          </rPr>
          <t xml:space="preserve">
annual report 2018 pg 95</t>
        </r>
      </text>
    </comment>
    <comment ref="G80" authorId="0" shapeId="0">
      <text>
        <r>
          <rPr>
            <b/>
            <sz val="9"/>
            <color indexed="81"/>
            <rFont val="Tahoma"/>
            <family val="2"/>
          </rPr>
          <t>Ogundiran, Temi:</t>
        </r>
        <r>
          <rPr>
            <sz val="9"/>
            <color indexed="81"/>
            <rFont val="Tahoma"/>
            <family val="2"/>
          </rPr>
          <t xml:space="preserve">
pg 95 says 3%</t>
        </r>
      </text>
    </comment>
    <comment ref="F83" authorId="0" shapeId="0">
      <text>
        <r>
          <rPr>
            <b/>
            <sz val="9"/>
            <color indexed="81"/>
            <rFont val="Tahoma"/>
            <family val="2"/>
          </rPr>
          <t>Ogundiran, Temi:</t>
        </r>
        <r>
          <rPr>
            <sz val="9"/>
            <color indexed="81"/>
            <rFont val="Tahoma"/>
            <family val="2"/>
          </rPr>
          <t xml:space="preserve">
https://www.dsm.com/corporate/media/informationcenter-pub/2017/02/financial-results-q4-fy-2016.html </t>
        </r>
      </text>
    </comment>
    <comment ref="H139" authorId="1" shapeId="0">
      <text>
        <r>
          <rPr>
            <b/>
            <sz val="9"/>
            <color indexed="81"/>
            <rFont val="Tahoma"/>
            <family val="2"/>
          </rPr>
          <t>Richard Holroyd:</t>
        </r>
        <r>
          <rPr>
            <sz val="9"/>
            <color indexed="81"/>
            <rFont val="Tahoma"/>
            <family val="2"/>
          </rPr>
          <t xml:space="preserve">
28.8% ex 53rd week
Merchandise margin flat</t>
        </r>
      </text>
    </comment>
    <comment ref="H145" authorId="1" shapeId="0">
      <text>
        <r>
          <rPr>
            <b/>
            <sz val="9"/>
            <color indexed="81"/>
            <rFont val="Tahoma"/>
            <family val="2"/>
          </rPr>
          <t>Richard Holroyd:</t>
        </r>
        <r>
          <rPr>
            <sz val="9"/>
            <color indexed="81"/>
            <rFont val="Tahoma"/>
            <family val="2"/>
          </rPr>
          <t xml:space="preserve">
Bonus is a -30bps drag</t>
        </r>
      </text>
    </comment>
    <comment ref="I151" authorId="0" shapeId="0">
      <text>
        <r>
          <rPr>
            <b/>
            <sz val="9"/>
            <color indexed="81"/>
            <rFont val="Tahoma"/>
            <family val="2"/>
          </rPr>
          <t>Ogundiran, Temi:</t>
        </r>
        <r>
          <rPr>
            <sz val="9"/>
            <color indexed="81"/>
            <rFont val="Tahoma"/>
            <family val="2"/>
          </rPr>
          <t xml:space="preserve">
GOT THIS FORM THE ANNUAL REPORTS 1/08/2019
</t>
        </r>
      </text>
    </comment>
    <comment ref="F156" authorId="0" shapeId="0">
      <text>
        <r>
          <rPr>
            <b/>
            <sz val="9"/>
            <color indexed="81"/>
            <rFont val="Tahoma"/>
            <charset val="1"/>
          </rPr>
          <t xml:space="preserve">found in china </t>
        </r>
      </text>
    </comment>
    <comment ref="H162" authorId="0" shapeId="0">
      <text>
        <r>
          <rPr>
            <b/>
            <sz val="9"/>
            <color indexed="81"/>
            <rFont val="Tahoma"/>
            <family val="2"/>
          </rPr>
          <t>Ogundiran, Temi:</t>
        </r>
        <r>
          <rPr>
            <sz val="9"/>
            <color indexed="81"/>
            <rFont val="Tahoma"/>
            <family val="2"/>
          </rPr>
          <t xml:space="preserve">
1244</t>
        </r>
      </text>
    </comment>
    <comment ref="H167" authorId="0" shapeId="0">
      <text>
        <r>
          <rPr>
            <b/>
            <sz val="9"/>
            <color indexed="81"/>
            <rFont val="Tahoma"/>
            <family val="2"/>
          </rPr>
          <t>Ogundiran, Temi:</t>
        </r>
        <r>
          <rPr>
            <sz val="9"/>
            <color indexed="81"/>
            <rFont val="Tahoma"/>
            <family val="2"/>
          </rPr>
          <t xml:space="preserve">
1034</t>
        </r>
      </text>
    </comment>
    <comment ref="J176" authorId="0" shapeId="0">
      <text>
        <r>
          <rPr>
            <b/>
            <sz val="9"/>
            <color indexed="81"/>
            <rFont val="Tahoma"/>
            <charset val="1"/>
          </rPr>
          <t>Ogundiran, Temi:</t>
        </r>
        <r>
          <rPr>
            <sz val="9"/>
            <color indexed="81"/>
            <rFont val="Tahoma"/>
            <charset val="1"/>
          </rPr>
          <t xml:space="preserve">
huge increase is due to the decrease in taxes.</t>
        </r>
      </text>
    </comment>
    <comment ref="I183" authorId="0" shapeId="0">
      <text>
        <r>
          <rPr>
            <b/>
            <sz val="9"/>
            <color indexed="81"/>
            <rFont val="Tahoma"/>
            <charset val="1"/>
          </rPr>
          <t>Ogundiran, Temi:</t>
        </r>
        <r>
          <rPr>
            <sz val="9"/>
            <color indexed="81"/>
            <rFont val="Tahoma"/>
            <charset val="1"/>
          </rPr>
          <t xml:space="preserve">
according to kepler</t>
        </r>
      </text>
    </comment>
  </commentList>
</comments>
</file>

<file path=xl/sharedStrings.xml><?xml version="1.0" encoding="utf-8"?>
<sst xmlns="http://schemas.openxmlformats.org/spreadsheetml/2006/main" count="1588" uniqueCount="1262">
  <si>
    <t>Upside</t>
  </si>
  <si>
    <t>Sedol</t>
  </si>
  <si>
    <t xml:space="preserve"> - Growth</t>
  </si>
  <si>
    <t>Management</t>
  </si>
  <si>
    <t>Growth</t>
  </si>
  <si>
    <t>Code</t>
  </si>
  <si>
    <t>Value</t>
  </si>
  <si>
    <t>ID,Row</t>
  </si>
  <si>
    <t>ROIC</t>
  </si>
  <si>
    <t>Comments</t>
  </si>
  <si>
    <t>Franchise</t>
  </si>
  <si>
    <t xml:space="preserve"> - Payout</t>
  </si>
  <si>
    <t>Long term interest rates</t>
  </si>
  <si>
    <t>BV per share</t>
  </si>
  <si>
    <t>WACC</t>
  </si>
  <si>
    <t>ROIC/WACC</t>
  </si>
  <si>
    <t>FY1 EPS</t>
  </si>
  <si>
    <t>Company FY1 PE</t>
  </si>
  <si>
    <t>Sector PE</t>
  </si>
  <si>
    <t>Other items</t>
  </si>
  <si>
    <t>Date</t>
  </si>
  <si>
    <t>Country of primary listing</t>
  </si>
  <si>
    <t>Primary exchange</t>
  </si>
  <si>
    <t>Market value (m)</t>
  </si>
  <si>
    <t>Dividend yield</t>
  </si>
  <si>
    <t>PE</t>
  </si>
  <si>
    <t xml:space="preserve"> Discounted earnings valuation</t>
  </si>
  <si>
    <t xml:space="preserve"> Discount rate</t>
  </si>
  <si>
    <t>5 year EPS discounted</t>
  </si>
  <si>
    <t>Inflation 5Y CPI + 2.25%</t>
  </si>
  <si>
    <t>12 month EPS forward value</t>
  </si>
  <si>
    <t>Market risk premium</t>
  </si>
  <si>
    <t>Target PE multiple</t>
  </si>
  <si>
    <t>Company specific risk addition [0,2%]</t>
  </si>
  <si>
    <t>Equity 12 month forward fair value</t>
  </si>
  <si>
    <t>ESG impact [-1,2%]</t>
  </si>
  <si>
    <t>Dividend 12 month forward value</t>
  </si>
  <si>
    <t>Barings 12 month target sell price</t>
  </si>
  <si>
    <t>Barings discount rate</t>
  </si>
  <si>
    <t>Upside from earnings valuation</t>
  </si>
  <si>
    <t xml:space="preserve"> Earnings growth</t>
  </si>
  <si>
    <t xml:space="preserve"> Static returns valuation</t>
  </si>
  <si>
    <t xml:space="preserve">   EPS CAGR historic (last 3 years)</t>
  </si>
  <si>
    <t>Return on equity</t>
  </si>
  <si>
    <t xml:space="preserve">   EPS growth NTM</t>
  </si>
  <si>
    <t xml:space="preserve">   EPS CAGR next 5 years</t>
  </si>
  <si>
    <t>BV multiple</t>
  </si>
  <si>
    <t>Target price from static valuation</t>
  </si>
  <si>
    <t>Upside from static returns valuation</t>
  </si>
  <si>
    <t xml:space="preserve"> Market based valuation</t>
  </si>
  <si>
    <t>Company PE relative</t>
  </si>
  <si>
    <t>Target price from sector valuation</t>
  </si>
  <si>
    <t>Upside from market based valuation</t>
  </si>
  <si>
    <t xml:space="preserve"> Regional suitability</t>
  </si>
  <si>
    <t>Developed markets</t>
  </si>
  <si>
    <t>Emerging markets</t>
  </si>
  <si>
    <t>Check</t>
  </si>
  <si>
    <t>Asia ex Japan</t>
  </si>
  <si>
    <t>China</t>
  </si>
  <si>
    <t xml:space="preserve"> Stock score</t>
  </si>
  <si>
    <t xml:space="preserve"> Quality</t>
  </si>
  <si>
    <t>Balance sheet</t>
  </si>
  <si>
    <t xml:space="preserve"> Growth</t>
  </si>
  <si>
    <t>CAGR last 3 years</t>
  </si>
  <si>
    <t>Next 12 months</t>
  </si>
  <si>
    <t xml:space="preserve"> Valuation</t>
  </si>
  <si>
    <t>Exemplary</t>
  </si>
  <si>
    <t>Improving</t>
  </si>
  <si>
    <t>ESG  Impact on Discount rate and Quality score</t>
  </si>
  <si>
    <t>Quality score influencers</t>
  </si>
  <si>
    <t>Data 
sources</t>
  </si>
  <si>
    <t xml:space="preserve">Sustainability Of The Business Model (Franchise)
</t>
  </si>
  <si>
    <t>Employee Satisfaction</t>
  </si>
  <si>
    <t>Bloomberg ESG / Sustainalytics / MSCI ESG / Knowledge Of The Company</t>
  </si>
  <si>
    <t>Resource Intensity</t>
  </si>
  <si>
    <t>Water Usage / Sales ; GHG Emissions / Sales ; Energy / Sales</t>
  </si>
  <si>
    <t>Traceability /  Security In Supply Chain</t>
  </si>
  <si>
    <t>Traceability Of Key Inputs ; Investments In Protecting The Business From External Threats, e.g. Cyber Security ; Backward Integration (Protection Of Key Inputs)</t>
  </si>
  <si>
    <t>Corporate Governance Credibility (Management)</t>
  </si>
  <si>
    <t>Effectiveness Of Supervisory / Management Board</t>
  </si>
  <si>
    <t>Separation Of Chair &amp; CEO ; Size Of Board ; Independence Of Board ; Frequency Of Meetings ; Attendance Record ; Voting Structure</t>
  </si>
  <si>
    <t>Credibility Of Auditing Arrangements</t>
  </si>
  <si>
    <t>Transparency &amp; Accountability Of Management</t>
  </si>
  <si>
    <t>Hidden Risks On The Balance Sheet (Balance Sheet)</t>
  </si>
  <si>
    <t>Environmental Footprint</t>
  </si>
  <si>
    <t>Change to 
discount rate</t>
  </si>
  <si>
    <t>ESG impact on quality score</t>
  </si>
  <si>
    <t>– Franchise</t>
  </si>
  <si>
    <t>– Management</t>
  </si>
  <si>
    <t>– Balance sheet</t>
  </si>
  <si>
    <t>Synapse values</t>
  </si>
  <si>
    <t>User changes</t>
  </si>
  <si>
    <t>Staff Turnover ; Strikes ; Fair Wages ; Injuries ; Fatalities ; Unionised Workforce</t>
  </si>
  <si>
    <t>Credible Auditor ; Independent Audit Committee ; Qualification To Accounts</t>
  </si>
  <si>
    <t>Access To Management ; Financial Reporting; Tax Disclosure ; Appropriate Incentive Structure</t>
  </si>
  <si>
    <t>GHG Emissions; Carbon Intensity; History Of Environmental Fines / Sanctions; Reduction Programmes In Place For Water / Waste / Resource Intensity</t>
  </si>
  <si>
    <t xml:space="preserve">Health / Wellness implications of Consumption of goods / services; Product Safety issues ; Community Engagement </t>
  </si>
  <si>
    <t>Anti-competitive practices; Bribery / Corruption; Whistle-Blower Policy; Litigation Risk</t>
  </si>
  <si>
    <t>Societal Impact of Products / Services</t>
  </si>
  <si>
    <t>Business Ethics</t>
  </si>
  <si>
    <t>9 
key topics</t>
  </si>
  <si>
    <t>Data / Issues to
consider</t>
  </si>
  <si>
    <t>Please link this table to your Earnings Model</t>
  </si>
  <si>
    <t>Factset Data (from Synapse)</t>
  </si>
  <si>
    <t>Miscellaneous Data (from Synapse)</t>
  </si>
  <si>
    <t>Analytic Data (downloaded from Synapse)</t>
  </si>
  <si>
    <t>Text Item Data (downloaded from Synapse)</t>
  </si>
  <si>
    <t>textitem</t>
  </si>
  <si>
    <t>40,1</t>
  </si>
  <si>
    <t>DL_STOCK_SCORE</t>
  </si>
  <si>
    <t>DL_TBO_TEXTITEM_1</t>
  </si>
  <si>
    <t>41,1</t>
  </si>
  <si>
    <t>DL_BUY_TARGET</t>
  </si>
  <si>
    <t>DL_TBO_TEXTITEM_2</t>
  </si>
  <si>
    <t>43,1</t>
  </si>
  <si>
    <t>DL_SELL_TARGET</t>
  </si>
  <si>
    <t>DL_TBO_TEXTITEM_3</t>
  </si>
  <si>
    <t>53,1</t>
  </si>
  <si>
    <t>DL_EPS_FY1</t>
  </si>
  <si>
    <t>DL_TBO_TEXTITEM_4</t>
  </si>
  <si>
    <t>55,1</t>
  </si>
  <si>
    <t>DL_EPS_FY2</t>
  </si>
  <si>
    <t>DL_TBO_TEXTITEM_5</t>
  </si>
  <si>
    <t>72,1</t>
  </si>
  <si>
    <t>DL_REVENUE_FY1</t>
  </si>
  <si>
    <t>DL_TBO_TEXTITEM_6</t>
  </si>
  <si>
    <t>400,1</t>
  </si>
  <si>
    <t>DL_REVENUE_FY2</t>
  </si>
  <si>
    <t>DL_TBO_TEXTITEM_7</t>
  </si>
  <si>
    <t>600,1</t>
  </si>
  <si>
    <t>DL_OPMARGIN_FY1</t>
  </si>
  <si>
    <t>DL_TBO_TEXTITEM_8</t>
  </si>
  <si>
    <t>900,1</t>
  </si>
  <si>
    <t>DL_OPMARGIN_FY2</t>
  </si>
  <si>
    <t>DL_TBO_TEXTITEM_9</t>
  </si>
  <si>
    <t>901,1</t>
  </si>
  <si>
    <t>DL_ROE_FY1</t>
  </si>
  <si>
    <t>DL_TBO_TEXTITEM_10</t>
  </si>
  <si>
    <t>902,1</t>
  </si>
  <si>
    <t>DL_ROE_FY2</t>
  </si>
  <si>
    <t>DL_TBO_TEXTITEM_11</t>
  </si>
  <si>
    <t>903,1</t>
  </si>
  <si>
    <t>DL_YIELD_FY1</t>
  </si>
  <si>
    <t>DL_TBO_TEXTITEM_12</t>
  </si>
  <si>
    <t>1100,1</t>
  </si>
  <si>
    <t>DL_YIELD_FY2</t>
  </si>
  <si>
    <t>DL_TBO_TEXTITEM_13</t>
  </si>
  <si>
    <t>1101,1</t>
  </si>
  <si>
    <t>DL_EPS_5YR</t>
  </si>
  <si>
    <t>DL_TBO_TEXTITEM_14</t>
  </si>
  <si>
    <t>1102,1</t>
  </si>
  <si>
    <t>DL_PRICE</t>
  </si>
  <si>
    <t>DL_TBO_TEXTITEM_15</t>
  </si>
  <si>
    <t>1103,1</t>
  </si>
  <si>
    <t>DL_PRICE_DATE</t>
  </si>
  <si>
    <t>DL_TBO_TEXTITEM_16</t>
  </si>
  <si>
    <t>DL_TARGET_PRICE_UPSIDE</t>
  </si>
  <si>
    <t>DL_TBO_TEXTITEM_17</t>
  </si>
  <si>
    <t>3000,1</t>
  </si>
  <si>
    <t>DL_TARGET_PRICE_DOWNSIDE</t>
  </si>
  <si>
    <t>DL_TBO_TEXTITEM_18</t>
  </si>
  <si>
    <t>3001,1</t>
  </si>
  <si>
    <t>DL_MARKET_VALUE</t>
  </si>
  <si>
    <t>DL_TBO_TEXTITEM_19</t>
  </si>
  <si>
    <t>3002,1</t>
  </si>
  <si>
    <t>DL_DIVIDEND_YIELD_FY0</t>
  </si>
  <si>
    <t>DL_TBO_TEXTITEM_20</t>
  </si>
  <si>
    <t>3003,1</t>
  </si>
  <si>
    <t>DL_EPS_FY1_CONSENSUS</t>
  </si>
  <si>
    <t>DL_TBO_TEXTITEM_21</t>
  </si>
  <si>
    <t>3003,2</t>
  </si>
  <si>
    <t>DL_EPS_FY2_CONSENSUS</t>
  </si>
  <si>
    <t>DL_TBO_TEXTITEM_22</t>
  </si>
  <si>
    <t>3003,3</t>
  </si>
  <si>
    <t>DL_EPS_FY3_CONSENSUS</t>
  </si>
  <si>
    <t>DL_TBO_TEXTITEM_23</t>
  </si>
  <si>
    <t>3003,4</t>
  </si>
  <si>
    <t>DL_EPS_FY1_CONSENSUS_DATE</t>
  </si>
  <si>
    <t>DL_TBO_TEXTITEM_24</t>
  </si>
  <si>
    <t>3003,5</t>
  </si>
  <si>
    <t>DL_EPS_FY2_CONSENSUS_DATE</t>
  </si>
  <si>
    <t>3003,6</t>
  </si>
  <si>
    <t>DL_EPS_FY3_CONSENSUS_DATE</t>
  </si>
  <si>
    <t>3003,7</t>
  </si>
  <si>
    <t>DL_EPS_3Y</t>
  </si>
  <si>
    <t>3003,8</t>
  </si>
  <si>
    <t>DL_EPS_2Y</t>
  </si>
  <si>
    <t>3003,9</t>
  </si>
  <si>
    <t>DL_EPS_1Y</t>
  </si>
  <si>
    <t>3003,10</t>
  </si>
  <si>
    <t>DL_EPS_FY0</t>
  </si>
  <si>
    <t>3003,11</t>
  </si>
  <si>
    <t>DL_EPS_FY3</t>
  </si>
  <si>
    <t>3003,12</t>
  </si>
  <si>
    <t>DL_EPS_FY4</t>
  </si>
  <si>
    <t>3003,13</t>
  </si>
  <si>
    <t>DL_EPS_FY5</t>
  </si>
  <si>
    <t>3003,14</t>
  </si>
  <si>
    <t>DL_EPS_GRWTH_2Y</t>
  </si>
  <si>
    <t>DL_EPS_GRWTH_1Y</t>
  </si>
  <si>
    <t>3004,1</t>
  </si>
  <si>
    <t>DL_EPS_GRWTH_FY0</t>
  </si>
  <si>
    <t>3005,1</t>
  </si>
  <si>
    <t>DL_EPS_GRWTH_FY1</t>
  </si>
  <si>
    <t>DL_EPS_GRWTH_FY2</t>
  </si>
  <si>
    <t>DL_EPS_GRWTH_FY3</t>
  </si>
  <si>
    <t>DL_EPS_GRWTH_FY4</t>
  </si>
  <si>
    <t>DL_EPS_GRWTH_FY5</t>
  </si>
  <si>
    <t>DL_DPS_3Y</t>
  </si>
  <si>
    <t>DL_DPS_2Y</t>
  </si>
  <si>
    <t>DL_DPS_1Y</t>
  </si>
  <si>
    <t>DL_DPS_FY0</t>
  </si>
  <si>
    <t>DL_DPS_FY1</t>
  </si>
  <si>
    <t>DL_DPS_FY2</t>
  </si>
  <si>
    <t>DL_DPS_FY3</t>
  </si>
  <si>
    <t>DL_DPS_FY4</t>
  </si>
  <si>
    <t>DL_DPS_FY5</t>
  </si>
  <si>
    <t>DL_DPS_GRWTH_2Y</t>
  </si>
  <si>
    <t>DL_DPS_GRWTH_1Y</t>
  </si>
  <si>
    <t>DL_DPS_GRWTH_FY0</t>
  </si>
  <si>
    <t>DL_DPS_GRWTH_FY1</t>
  </si>
  <si>
    <t>DL_DPS_GRWTH_FY2</t>
  </si>
  <si>
    <t>DL_DPS_GRWTH_FY3</t>
  </si>
  <si>
    <t>DL_DPS_GRWTH_FY4</t>
  </si>
  <si>
    <t>DL_DPS_GRWTH_FY5</t>
  </si>
  <si>
    <t>DL_DPS_PAYOUT_3Y</t>
  </si>
  <si>
    <t>DL_DPS_PAYOUT_2Y</t>
  </si>
  <si>
    <t>DL_DPS_PAYOUT_1Y</t>
  </si>
  <si>
    <t>DL_DPS_PAYOUT_FY0</t>
  </si>
  <si>
    <t>DL_DPS_PAYOUT_FY1</t>
  </si>
  <si>
    <t>DL_DPS_PAYOUT_FY2</t>
  </si>
  <si>
    <t>DL_DPS_PAYOUT_FY3</t>
  </si>
  <si>
    <t>DL_DPS_PAYOUT_FY4</t>
  </si>
  <si>
    <t>DL_DPS_PAYOUT_FY5</t>
  </si>
  <si>
    <t>DL_PE_3Y</t>
  </si>
  <si>
    <t>DL_PE_2Y</t>
  </si>
  <si>
    <t>DL_PE_1Y</t>
  </si>
  <si>
    <t>DL_PE_FY0</t>
  </si>
  <si>
    <t>DL_PE_FY1</t>
  </si>
  <si>
    <t>DL_PE_FY2</t>
  </si>
  <si>
    <t>DL_PE_FY3</t>
  </si>
  <si>
    <t>DL_PE_FY4</t>
  </si>
  <si>
    <t>DL_PE_FY5</t>
  </si>
  <si>
    <t>DL_EPS_5YR_DISCOUNTED</t>
  </si>
  <si>
    <t>DL_EPS_12M_FWD_VALUE</t>
  </si>
  <si>
    <t>DL_TARGET_PE_MULTIPLE</t>
  </si>
  <si>
    <t>DL_EQUITY_12M_FWD_VALUE</t>
  </si>
  <si>
    <t>DL_DIVIDEND_12M_FWD_VALUE</t>
  </si>
  <si>
    <t>DL_BARINGS_12M_TARGET_SELL_PRICE</t>
  </si>
  <si>
    <t>DL_EPS_GRWTH_LAST_3YRS</t>
  </si>
  <si>
    <t>DL_EPS_GRWTH_NEXT_12M</t>
  </si>
  <si>
    <t>DL_EPS_GRWTH_CAGR_NEXT_5YRS</t>
  </si>
  <si>
    <t>DL_EPS_GRWTH_AVERAGE</t>
  </si>
  <si>
    <t>DL_RFR_INFLATION</t>
  </si>
  <si>
    <t>DL_MRKT_RISK_PREM</t>
  </si>
  <si>
    <t>DL_CMP_SPECIFIC</t>
  </si>
  <si>
    <t>DL_ESG_IMPACT</t>
  </si>
  <si>
    <t>DL_BARINGS_DISCOUNT_RATE</t>
  </si>
  <si>
    <t>DL_UPSIDE_EARN_VALUE</t>
  </si>
  <si>
    <t>DL_ROE_FY0</t>
  </si>
  <si>
    <t>DL_LTIR</t>
  </si>
  <si>
    <t>DL_BV_MULTI</t>
  </si>
  <si>
    <t>DL_BV_PS</t>
  </si>
  <si>
    <t>DL_TARGET_PRICE_STATIC_VALUE</t>
  </si>
  <si>
    <t>DL_UPSIDE_STATIC_VALUE</t>
  </si>
  <si>
    <t>DL_ROIC_FY0</t>
  </si>
  <si>
    <t>DL_WACC_FY0</t>
  </si>
  <si>
    <t>DL_ROICWACC_RATIO</t>
  </si>
  <si>
    <t>DL_CMP_PE_FY1</t>
  </si>
  <si>
    <t>DL_CMP_PE_RELATIVE</t>
  </si>
  <si>
    <t>DL_SECTOR_PE</t>
  </si>
  <si>
    <t>DL_TARGET_PRICE_SECTOR_VALUE</t>
  </si>
  <si>
    <t>DL_UPSIDE_SECTOR_VALUE</t>
  </si>
  <si>
    <t>DL_QLTY_FRCHS_SUBSCORE</t>
  </si>
  <si>
    <t>DL_QLTY_MGMT_SUBSCORE</t>
  </si>
  <si>
    <t>DL_QLTY_BS_SUBSCORE</t>
  </si>
  <si>
    <t>DL_QLTY_OVERALL_SCORE</t>
  </si>
  <si>
    <t>DL_GRWTH_LAST_3YRS_SUBSCORE</t>
  </si>
  <si>
    <t>DL_GRWTH_NEXT_12M_SUBSCORE</t>
  </si>
  <si>
    <t>DL_GRWTH_CAGR_NEXT_5YRS_SUBSCORE</t>
  </si>
  <si>
    <t>DL_GRWTH_OVERALL_SCORE</t>
  </si>
  <si>
    <t>DL_VAL_MRKT_MEASURE_SUBSCORE</t>
  </si>
  <si>
    <t>DL_VAL_STATIC_MEASURE_SUBSCORE</t>
  </si>
  <si>
    <t>DL_VAL_DISC_EARNING_SUBSCORE</t>
  </si>
  <si>
    <t>DL_VAL_OVERALL_SCORE</t>
  </si>
  <si>
    <t>DL_ESG_KEY_ISSUE_1</t>
  </si>
  <si>
    <t>DL_ESG_KEY_ISSUE_2</t>
  </si>
  <si>
    <t>DL_ESG_KEY_ISSUE_3</t>
  </si>
  <si>
    <t>DL_ESG_KEY_ISSUE_4</t>
  </si>
  <si>
    <t>DL_ESG_KEY_ISSUE_5</t>
  </si>
  <si>
    <t>DL_ESG_KEY_ISSUE_6</t>
  </si>
  <si>
    <t>DL_ESG_KEY_ISSUE_7</t>
  </si>
  <si>
    <t>DL_ESG_KEY_ISSUE_8</t>
  </si>
  <si>
    <t>DL_ESG_KEY_ISSUE_9</t>
  </si>
  <si>
    <t>DL_SUITABLE_DM</t>
  </si>
  <si>
    <t>DL_SUITABLE_EM</t>
  </si>
  <si>
    <t>DL_SUITABLE_ASIA</t>
  </si>
  <si>
    <t>DL_SUITABLE_CHINA</t>
  </si>
  <si>
    <t>DL_APPLICABLE_FOR_VALUATION_MODEL</t>
  </si>
  <si>
    <t>DL_APPLICABLE_FOR_LIGHT_COVERAGE</t>
  </si>
  <si>
    <t>DL_PART_OF_ANALYST_PLAYBOOK</t>
  </si>
  <si>
    <t>DL_LAST_SAVED_DATE</t>
  </si>
  <si>
    <t>DL_LAST_PUBLISHED_DATE</t>
  </si>
  <si>
    <t>DL_FISCAL_YEAR_END</t>
  </si>
  <si>
    <t>DL_THREE_YEARS_AGO_DATE</t>
  </si>
  <si>
    <t>DL_TWO_YEARS_AGO_DATE</t>
  </si>
  <si>
    <t>DL_ONE_YEAR_AGO_DATE</t>
  </si>
  <si>
    <t>DL_FY0_DATE</t>
  </si>
  <si>
    <t>DL_FY1_DATE</t>
  </si>
  <si>
    <t>DL_FY2_DATE</t>
  </si>
  <si>
    <t>DL_FY3_DATE</t>
  </si>
  <si>
    <t>DL_FY4_DATE</t>
  </si>
  <si>
    <t>DL_FY5_DATE</t>
  </si>
  <si>
    <t>UPLD_STOCK_SCORE</t>
  </si>
  <si>
    <t>UPLD_SEDOL</t>
  </si>
  <si>
    <t>UPLD_BUY_TARGET</t>
  </si>
  <si>
    <t>UPLD_SELL_TARGET</t>
  </si>
  <si>
    <t>UPLD_EPS_FY1</t>
  </si>
  <si>
    <t>UPLD_EPS_FY2</t>
  </si>
  <si>
    <t>UPLD_REVENUE_FY1</t>
  </si>
  <si>
    <t>UPLD_REVENUE_FY2</t>
  </si>
  <si>
    <t>UPLD_OPMARGIN_FY1</t>
  </si>
  <si>
    <t>UPLD_OPMARGIN_FY2</t>
  </si>
  <si>
    <t>UPLD_ROE_FY1</t>
  </si>
  <si>
    <t>UPLD_ROE_FY2</t>
  </si>
  <si>
    <t>UPLD_YIELD_FY1</t>
  </si>
  <si>
    <t>UPLD_YIELD_FY2</t>
  </si>
  <si>
    <t>UPLD_EPS_5YR</t>
  </si>
  <si>
    <t>UPLD_PRICE</t>
  </si>
  <si>
    <t>UPLD_PRICE_DATE</t>
  </si>
  <si>
    <t>UPLD_TARGET_PRICE_UPSIDE</t>
  </si>
  <si>
    <t>UPLD_TARGET_PRICE_DOWNSIDE</t>
  </si>
  <si>
    <t>UPLD_MARKET_VALUE</t>
  </si>
  <si>
    <t>UPLD_DIVIDEND_YIELD_FY0</t>
  </si>
  <si>
    <t>UPLD_EPS_FY1_CONSENSUS</t>
  </si>
  <si>
    <t>UPLD_EPS_FY2_CONSENSUS</t>
  </si>
  <si>
    <t>UPLD_EPS_FY3_CONSENSUS</t>
  </si>
  <si>
    <t>UPLD_EPS_FY1_CONSENSUS_DATE</t>
  </si>
  <si>
    <t>UPLD_EPS_FY2_CONSENSUS_DATE</t>
  </si>
  <si>
    <t>UPLD_EPS_FY3_CONSENSUS_DATE</t>
  </si>
  <si>
    <t>UPLD_EPS_3Y</t>
  </si>
  <si>
    <t>UPLD_EPS_2Y</t>
  </si>
  <si>
    <t>UPLD_EPS_1Y</t>
  </si>
  <si>
    <t>UPLD_EPS_FY0</t>
  </si>
  <si>
    <t>UPLD_EPS_FY3</t>
  </si>
  <si>
    <t>UPLD_EPS_FY4</t>
  </si>
  <si>
    <t>UPLD_EPS_FY5</t>
  </si>
  <si>
    <t>UPLD_EPS_GRWTH_2Y</t>
  </si>
  <si>
    <t>UPLD_EPS_GRWTH_1Y</t>
  </si>
  <si>
    <t>UPLD_EPS_GRWTH_FY0</t>
  </si>
  <si>
    <t>UPLD_EPS_GRWTH_FY1</t>
  </si>
  <si>
    <t>UPLD_EPS_GRWTH_FY2</t>
  </si>
  <si>
    <t>UPLD_EPS_GRWTH_FY3</t>
  </si>
  <si>
    <t>UPLD_EPS_GRWTH_FY4</t>
  </si>
  <si>
    <t>UPLD_EPS_GRWTH_FY5</t>
  </si>
  <si>
    <t>UPLD_DPS_3Y</t>
  </si>
  <si>
    <t>UPLD_DPS_2Y</t>
  </si>
  <si>
    <t>UPLD_DPS_1Y</t>
  </si>
  <si>
    <t>UPLD_DPS_FY0</t>
  </si>
  <si>
    <t>UPLD_DPS_FY1</t>
  </si>
  <si>
    <t>UPLD_DPS_FY2</t>
  </si>
  <si>
    <t>UPLD_DPS_FY3</t>
  </si>
  <si>
    <t>UPLD_DPS_FY4</t>
  </si>
  <si>
    <t>UPLD_DPS_FY5</t>
  </si>
  <si>
    <t>UPLD_DPS_GRWTH_2Y</t>
  </si>
  <si>
    <t>UPLD_DPS_GRWTH_1Y</t>
  </si>
  <si>
    <t>UPLD_DPS_GRWTH_FY0</t>
  </si>
  <si>
    <t>UPLD_DPS_GRWTH_FY1</t>
  </si>
  <si>
    <t>UPLD_DPS_GRWTH_FY2</t>
  </si>
  <si>
    <t>UPLD_DPS_GRWTH_FY3</t>
  </si>
  <si>
    <t>UPLD_DPS_GRWTH_FY4</t>
  </si>
  <si>
    <t>UPLD_DPS_GRWTH_FY5</t>
  </si>
  <si>
    <t>UPLD_DPS_PAYOUT_3Y</t>
  </si>
  <si>
    <t>UPLD_DPS_PAYOUT_2Y</t>
  </si>
  <si>
    <t>UPLD_DPS_PAYOUT_1Y</t>
  </si>
  <si>
    <t>UPLD_DPS_PAYOUT_FY0</t>
  </si>
  <si>
    <t>UPLD_DPS_PAYOUT_FY1</t>
  </si>
  <si>
    <t>UPLD_DPS_PAYOUT_FY2</t>
  </si>
  <si>
    <t>UPLD_DPS_PAYOUT_FY3</t>
  </si>
  <si>
    <t>UPLD_DPS_PAYOUT_FY4</t>
  </si>
  <si>
    <t>UPLD_DPS_PAYOUT_FY5</t>
  </si>
  <si>
    <t>UPLD_PE_3Y</t>
  </si>
  <si>
    <t>UPLD_PE_2Y</t>
  </si>
  <si>
    <t>UPLD_PE_1Y</t>
  </si>
  <si>
    <t>UPLD_PE_FY0</t>
  </si>
  <si>
    <t>UPLD_PE_FY1</t>
  </si>
  <si>
    <t>UPLD_PE_FY2</t>
  </si>
  <si>
    <t>UPLD_PE_FY3</t>
  </si>
  <si>
    <t>UPLD_PE_FY4</t>
  </si>
  <si>
    <t>UPLD_PE_FY5</t>
  </si>
  <si>
    <t>UPLD_EPS_5YR_DISCOUNTED</t>
  </si>
  <si>
    <t>UPLD_EPS_12M_FWD_VALUE</t>
  </si>
  <si>
    <t>UPLD_TARGET_PE_MULTIPLE</t>
  </si>
  <si>
    <t>UPLD_EQUITY_12M_FWD_VALUE</t>
  </si>
  <si>
    <t>UPLD_DIVIDEND_12M_FWD_VALUE</t>
  </si>
  <si>
    <t>UPLD_BARINGS_12M_TARGET_SELL_PRICE</t>
  </si>
  <si>
    <t>UPLD_EPS_GRWTH_LAST_3YRS</t>
  </si>
  <si>
    <t>UPLD_EPS_GRWTH_NEXT_12M</t>
  </si>
  <si>
    <t>UPLD_EPS_GRWTH_CAGR_NEXT_5YRS</t>
  </si>
  <si>
    <t>UPLD_EPS_GRWTH_AVERAGE</t>
  </si>
  <si>
    <t>UPLD_RFR_INFLATION</t>
  </si>
  <si>
    <t>UPLD_MRKT_RISK_PREM</t>
  </si>
  <si>
    <t>UPLD_CMP_SPECIFIC</t>
  </si>
  <si>
    <t>UPLD_ESG_IMPACT</t>
  </si>
  <si>
    <t>UPLD_BARINGS_DISCOUNT_RATE</t>
  </si>
  <si>
    <t>UPLD_UPSIDE_EARN_VALUE</t>
  </si>
  <si>
    <t>UPLD_ROE_FY0</t>
  </si>
  <si>
    <t>UPLD_LTIR</t>
  </si>
  <si>
    <t>UPLD_BV_MULTI</t>
  </si>
  <si>
    <t>UPLD_TARGET_PRICE_STATIC_VALUE</t>
  </si>
  <si>
    <t>UPLD_UPSIDE_STATIC_VALUE</t>
  </si>
  <si>
    <t>UPLD_ROIC_FY0</t>
  </si>
  <si>
    <t>UPLD_WACC_FY0</t>
  </si>
  <si>
    <t>UPLD_ROICWACC_RATIO</t>
  </si>
  <si>
    <t>UPLD_CMP_PE_FY1</t>
  </si>
  <si>
    <t>UPLD_CMP_PE_RELATIVE</t>
  </si>
  <si>
    <t>UPLD_SECTOR_PE</t>
  </si>
  <si>
    <t>UPLD_TARGET_PRICE_SECTOR_VALUE</t>
  </si>
  <si>
    <t>UPLD_UPSIDE_SECTOR_VALUE</t>
  </si>
  <si>
    <t>UPLD_QLTY_FRCHS_SUBSCORE</t>
  </si>
  <si>
    <t>UPLD_QLTY_MGMT_SUBSCORE</t>
  </si>
  <si>
    <t>UPLD_QLTY_BS_SUBSCORE</t>
  </si>
  <si>
    <t>UPLD_QLTY_OVERALL_SCORE</t>
  </si>
  <si>
    <t>UPLD_GRWTH_LAST_3YRS_SUBSCORE</t>
  </si>
  <si>
    <t>UPLD_GRWTH_NEXT_12M_SUBSCORE</t>
  </si>
  <si>
    <t>UPLD_GRWTH_CAGR_NEXT_5YRS_SUBSCORE</t>
  </si>
  <si>
    <t>UPLD_GRWTH_OVERALL_SCORE</t>
  </si>
  <si>
    <t>UPLD_VAL_MRKT_MEASURE_SUBSCORE</t>
  </si>
  <si>
    <t>UPLD_VAL_STATIC_MEASURE_SUBSCORE</t>
  </si>
  <si>
    <t>UPLD_VAL_DISC_EARNING_SUBSCORE</t>
  </si>
  <si>
    <t>UPLD_VAL_OVERALL_SCORE</t>
  </si>
  <si>
    <t>UPLD_ESG_KEY_ISSUE_1</t>
  </si>
  <si>
    <t>UPLD_ESG_KEY_ISSUE_2</t>
  </si>
  <si>
    <t>UPLD_ESG_KEY_ISSUE_3</t>
  </si>
  <si>
    <t>UPLD_ESG_KEY_ISSUE_4</t>
  </si>
  <si>
    <t>UPLD_ESG_KEY_ISSUE_5</t>
  </si>
  <si>
    <t>UPLD_ESG_KEY_ISSUE_6</t>
  </si>
  <si>
    <t>UPLD_ESG_KEY_ISSUE_7</t>
  </si>
  <si>
    <t>UPLD_ESG_KEY_ISSUE_8</t>
  </si>
  <si>
    <t>UPLD_ESG_KEY_ISSUE_9</t>
  </si>
  <si>
    <t>UPLD_SUITABLE_DM</t>
  </si>
  <si>
    <t>UPLD_SUITABLE_EM</t>
  </si>
  <si>
    <t>UPLD_SUITABLE_ASIA</t>
  </si>
  <si>
    <t>UPLD_SUITABLE_CHINA</t>
  </si>
  <si>
    <t>UPLD_APPLICABLE_FOR_VALUATION_MODEL</t>
  </si>
  <si>
    <t>UPLD_APPLICABLE_FOR_LIGHT_COVERAGE</t>
  </si>
  <si>
    <t>UPLD_PART_OF_ANALYST_PLAYBOOK</t>
  </si>
  <si>
    <t>UPLD_LAST_SAVED_DATE</t>
  </si>
  <si>
    <t>UPLD_LAST_PUBLISHED_DATE</t>
  </si>
  <si>
    <t>UPLD_FISCAL_YEAR_END</t>
  </si>
  <si>
    <t>UPLD_THREE_YEARS_AGO_DATE</t>
  </si>
  <si>
    <t>UPLD_TWO_YEARS_AGO_DATE</t>
  </si>
  <si>
    <t>UPLD_ONE_YEAR_AGO_DATE</t>
  </si>
  <si>
    <t>UPLD_FY0_DATE</t>
  </si>
  <si>
    <t>UPLD_FY1_DATE</t>
  </si>
  <si>
    <t>UPLD_FY2_DATE</t>
  </si>
  <si>
    <t>UPLD_FY3_DATE</t>
  </si>
  <si>
    <t>UPLD_FY4_DATE</t>
  </si>
  <si>
    <t>DL_SEC_NAME</t>
  </si>
  <si>
    <t>DL_SEC_CODE</t>
  </si>
  <si>
    <t>DL_SEC_ANALYST</t>
  </si>
  <si>
    <t>DL_SEC_DEF_BENCHMARK</t>
  </si>
  <si>
    <t>DL_TEMPLATE_DATE</t>
  </si>
  <si>
    <t>DL_SEC_COUNTRY</t>
  </si>
  <si>
    <t>DL_REASON</t>
  </si>
  <si>
    <t>DL_GROWTH</t>
  </si>
  <si>
    <t>DL_MANAGEMENT</t>
  </si>
  <si>
    <t>DL_VALUATION</t>
  </si>
  <si>
    <t>DL_VALUE_CREATION</t>
  </si>
  <si>
    <t>DL_LIQUIDITY</t>
  </si>
  <si>
    <t>DL_RISKS</t>
  </si>
  <si>
    <t>DL_DIFFERENCE</t>
  </si>
  <si>
    <t>DL_QLTY_FRCHS_COMMENTS</t>
  </si>
  <si>
    <t>DL_QLTY_MGMT_COMMENTS</t>
  </si>
  <si>
    <t>DL_QLTY_BS_COMMENTS</t>
  </si>
  <si>
    <t>DL_GRWTH_LAST_3YRS_COMMENTS</t>
  </si>
  <si>
    <t>DL_GRWTH_NEXT_12M_COMMENTS</t>
  </si>
  <si>
    <t>DL_GRWTH_CAGR_NEXT_5YRS_COMMENTS</t>
  </si>
  <si>
    <t>DL_VAL_MRKT_MEASURE_COMMENTS</t>
  </si>
  <si>
    <t>DL_VAL_STATIC_MEASURE_COMMENTS</t>
  </si>
  <si>
    <t>DL_VAL_DISC_EARNING_COMMENTS</t>
  </si>
  <si>
    <t>DL_ESG_IMPACT_QLTY_FRCHS_SCORE</t>
  </si>
  <si>
    <t>DL_ESG_IMPACT_QLTY_MGMT_SCORE</t>
  </si>
  <si>
    <t>DL_ESG_IMPACT_QLTY_BS_SCORE</t>
  </si>
  <si>
    <t>Analytic Data to be uploaded toSynapse)</t>
  </si>
  <si>
    <t>BUS_DESCRIPTION_DUMMY</t>
  </si>
  <si>
    <t>UPLD_FY5_DATE</t>
  </si>
  <si>
    <t>UPLD_REASON</t>
  </si>
  <si>
    <t>UPLD_GROWTH</t>
  </si>
  <si>
    <t>UPLD_MANAGEMENT</t>
  </si>
  <si>
    <t>UPLD_VALUATION</t>
  </si>
  <si>
    <t>UPLD_VALUE_CREATION</t>
  </si>
  <si>
    <t>UPLD_LIQUIDITY</t>
  </si>
  <si>
    <t>UPLD_RISKS</t>
  </si>
  <si>
    <t>UPLD_DIFFERENCE</t>
  </si>
  <si>
    <t>UPLD_QLTY_FRCHS_COMMENTS</t>
  </si>
  <si>
    <t>UPLD_QLTY_MGMT_COMMENTS</t>
  </si>
  <si>
    <t>UPLD_QLTY_BS_COMMENTS</t>
  </si>
  <si>
    <t>UPLD_GRWTH_LAST_3YRS_COMMENTS</t>
  </si>
  <si>
    <t>UPLD_GRWTH_NEXT_12M_COMMENTS</t>
  </si>
  <si>
    <t>UPLD_GRWTH_CAGR_NEXT_5YRS_COMMENTS</t>
  </si>
  <si>
    <t>UPLD_VAL_MRKT_MEASURE_COMMENTS</t>
  </si>
  <si>
    <t>UPLD_VAL_STATIC_MEASURE_COMMENTS</t>
  </si>
  <si>
    <t>UPLD_VAL_DISC_EARNING_COMMENTS</t>
  </si>
  <si>
    <t>UPLD_ESG_IMPACT_QLTY_FRCHS_SCORE</t>
  </si>
  <si>
    <t>UPLD_ESG_IMPACT_QLTY_MGMT_SCORE</t>
  </si>
  <si>
    <t>UPLD_ESG_IMPACT_QLTY_BS_SCORE</t>
  </si>
  <si>
    <t>Text Item Data (to be uploaded to Synapse)</t>
  </si>
  <si>
    <t>UPLD_TBO_TEXTITEM_1</t>
  </si>
  <si>
    <t>UPLD_TBO_TEXTITEM_2</t>
  </si>
  <si>
    <t>UPLD_TBO_TEXTITEM_3</t>
  </si>
  <si>
    <t>UPLD_TBO_TEXTITEM_4</t>
  </si>
  <si>
    <t>UPLD_TBO_TEXTITEM_5</t>
  </si>
  <si>
    <t>UPLD_TBO_TEXTITEM_6</t>
  </si>
  <si>
    <t>UPLD_TBO_TEXTITEM_7</t>
  </si>
  <si>
    <t>UPLD_TBO_TEXTITEM_8</t>
  </si>
  <si>
    <t>UPLD_TBO_TEXTITEM_9</t>
  </si>
  <si>
    <t>UPLD_TBO_TEXTITEM_10</t>
  </si>
  <si>
    <t>UPLD_TBO_TEXTITEM_11</t>
  </si>
  <si>
    <t>UPLD_TBO_TEXTITEM_12</t>
  </si>
  <si>
    <t>UPLD_TBO_TEXTITEM_13</t>
  </si>
  <si>
    <t>UPLD_TBO_TEXTITEM_14</t>
  </si>
  <si>
    <t>UPLD_TBO_TEXTITEM_15</t>
  </si>
  <si>
    <t>UPLD_TBO_TEXTITEM_16</t>
  </si>
  <si>
    <t>UPLD_TBO_TEXTITEM_17</t>
  </si>
  <si>
    <t>UPLD_TBO_TEXTITEM_18</t>
  </si>
  <si>
    <t>UPLD_TBO_TEXTITEM_19</t>
  </si>
  <si>
    <t>UPLD_TBO_TEXTITEM_20</t>
  </si>
  <si>
    <t>UPLD_TBO_TEXTITEM_21</t>
  </si>
  <si>
    <t>UPLD_TBO_TEXTITEM_22</t>
  </si>
  <si>
    <t>UPLD_TBO_TEXTITEM_23</t>
  </si>
  <si>
    <t>UPLD_TBO_TEXTITEM_24</t>
  </si>
  <si>
    <t>DL_SHARE_PER_UNIT</t>
  </si>
  <si>
    <t>Unscored</t>
  </si>
  <si>
    <t>UPLD_BV_PS</t>
  </si>
  <si>
    <t>UPLD_SUITABLE_DM_COMMENTS</t>
  </si>
  <si>
    <t>UPLD_SUITABLE_EM_COMMENTS</t>
  </si>
  <si>
    <t>UPLD_SUITABLE_ASIA_COMMENTS</t>
  </si>
  <si>
    <t>UPLD_SUITABLE_CHINA_COMMENTS</t>
  </si>
  <si>
    <t>DL_SUITABLE_DM_COMMENTS</t>
  </si>
  <si>
    <t>DL_SUITABLE_EM_COMMENTS</t>
  </si>
  <si>
    <t>DL_SUITABLE_ASIA_COMMENTS</t>
  </si>
  <si>
    <t>DL_SUITABLE_CHINA_COMMENTS</t>
  </si>
  <si>
    <t>DL_SELL_TARGET_REPORT_CCY</t>
  </si>
  <si>
    <t>DL_TARGET_PRICE_UPSIDE_REPORT_CCY</t>
  </si>
  <si>
    <t>UPLD_SELL_TARGET_REPORT_CCY</t>
  </si>
  <si>
    <t>UPLD_TARGET_PRICE_UPSIDE_REPORT_CCY</t>
  </si>
  <si>
    <t>Target sell price in trading currency</t>
  </si>
  <si>
    <t>Target sell price in reporting currency</t>
  </si>
  <si>
    <t>Upside in trading currency</t>
  </si>
  <si>
    <t>Upside in reporting currency</t>
  </si>
  <si>
    <t>Report Date</t>
  </si>
  <si>
    <t>Trading currency</t>
  </si>
  <si>
    <t>Price in trading currency</t>
  </si>
  <si>
    <t>Reporting currency</t>
  </si>
  <si>
    <t>Select FY0</t>
  </si>
  <si>
    <t>DL_PRICE_IN_REPORTING_CCY</t>
  </si>
  <si>
    <t>DL_XRATE_ON_PRICE_DATE_FROM_PRICE_TO_REPORT_CCY</t>
  </si>
  <si>
    <t>UPLD_PRICE_IN_REPORTING_CCY</t>
  </si>
  <si>
    <t>UPLD_XRATE_ON_PRICE_DATE_FROM_PRICE_TO_REPORT_CCY</t>
  </si>
  <si>
    <t>Price in reporting currency</t>
  </si>
  <si>
    <t>Rating</t>
  </si>
  <si>
    <t>Not improving</t>
  </si>
  <si>
    <t>Unfavourable</t>
  </si>
  <si>
    <t>Exchange rate</t>
  </si>
  <si>
    <t>CAGR next 5 years</t>
  </si>
  <si>
    <t>DL_EPS_FY1_REPORT_CCY</t>
  </si>
  <si>
    <t>DL_EPS_FY2_REPORT_CCY</t>
  </si>
  <si>
    <t>UPLD_EPS_FY1_REPORT_CCY</t>
  </si>
  <si>
    <t>Accounting standard</t>
  </si>
  <si>
    <t xml:space="preserve">    Tick if part of Analyst Playbook</t>
  </si>
  <si>
    <t xml:space="preserve">    Tick if valuation model not applicable</t>
  </si>
  <si>
    <t xml:space="preserve">    Tick if light coverage</t>
  </si>
  <si>
    <t>UPLD_TBO_TEXTITEM_25</t>
  </si>
  <si>
    <t>UPLD_TBO_TEXTITEM_26</t>
  </si>
  <si>
    <t>UPLD_BUSINESS_DESCRIPTION</t>
  </si>
  <si>
    <t>UPLD_REPORTING_CURRENCY</t>
  </si>
  <si>
    <t>DL_TBO_TEXTITEM_25</t>
  </si>
  <si>
    <t>DL_TBO_TEXTITEM_26</t>
  </si>
  <si>
    <t>DL_BUSINESS_DESCRIPTION</t>
  </si>
  <si>
    <t>DL_REPORTING_CURRENCY</t>
  </si>
  <si>
    <t>DL_XD_DATE</t>
  </si>
  <si>
    <t>DL_LATEST_DIV</t>
  </si>
  <si>
    <t>DL_DIV_FREQ</t>
  </si>
  <si>
    <t>UPLD_XD_DATE</t>
  </si>
  <si>
    <t>UPLD_LATEST_DIV</t>
  </si>
  <si>
    <t>UPLD_DIV_FREQ</t>
  </si>
  <si>
    <t>Latest declared dividend</t>
  </si>
  <si>
    <t>XD date of previous div</t>
  </si>
  <si>
    <t>XD date of latest div</t>
  </si>
  <si>
    <t>FY1 dividend frequency</t>
  </si>
  <si>
    <t>FY1 accrued dividends</t>
  </si>
  <si>
    <t>DL_XD_DATE_PREV</t>
  </si>
  <si>
    <t>UPLD_XD_DATE_PREV</t>
  </si>
  <si>
    <t>UPLD_EPS_FY2_REPORT_CCY</t>
  </si>
  <si>
    <t>Annual</t>
  </si>
  <si>
    <t>Semi-Annual</t>
  </si>
  <si>
    <t>Quarterly</t>
  </si>
  <si>
    <t>Template version:</t>
  </si>
  <si>
    <r>
      <t xml:space="preserve">Market measure
</t>
    </r>
    <r>
      <rPr>
        <sz val="6"/>
        <color rgb="FF4D4D4D"/>
        <rFont val="Arial"/>
        <family val="2"/>
      </rPr>
      <t>(EPS NTM x 
P/E sector NTM)</t>
    </r>
  </si>
  <si>
    <r>
      <t xml:space="preserve">Static measure
</t>
    </r>
    <r>
      <rPr>
        <sz val="6"/>
        <color rgb="FF4D4D4D"/>
        <rFont val="Arial"/>
        <family val="2"/>
      </rPr>
      <t>BV x (ROE/current long term interest rates)</t>
    </r>
  </si>
  <si>
    <r>
      <t xml:space="preserve">Discounted 
earnings
</t>
    </r>
    <r>
      <rPr>
        <sz val="6"/>
        <color rgb="FF4D4D4D"/>
        <rFont val="Arial"/>
        <family val="2"/>
      </rPr>
      <t>(EPS forecast 5 years 
out)</t>
    </r>
  </si>
  <si>
    <t>Notes</t>
  </si>
  <si>
    <t>EPS 
   growth &gt; 20% = 1
   growth &lt; 0% = 5</t>
  </si>
  <si>
    <t>EPS NTM x P/E sector NTM
(measures are relative to the market, sector and historic)
Upside  &gt; 25% = 1
Upside  &lt; 10% = 5</t>
  </si>
  <si>
    <t>BV x (ROE/current  long term  interest  rates)
Upside  &gt; 25% = 1
Upside  &lt; 10% = 5</t>
  </si>
  <si>
    <r>
      <t xml:space="preserve">Calculate  an EPS forecast  5 years out depending on forecastability
Putting an appropriate  P/E 
</t>
    </r>
    <r>
      <rPr>
        <b/>
        <sz val="6"/>
        <rFont val="Arial"/>
        <family val="2"/>
      </rPr>
      <t xml:space="preserve">(this  needs to explicit  in the  comments  box) </t>
    </r>
    <r>
      <rPr>
        <sz val="6"/>
        <rFont val="Arial"/>
        <family val="2"/>
      </rPr>
      <t xml:space="preserve">
multiple  on the EPS forecast  above
Discount  using (inflation  plus the equity risk premium)  
</t>
    </r>
    <r>
      <rPr>
        <b/>
        <sz val="6"/>
        <rFont val="Arial"/>
        <family val="2"/>
      </rPr>
      <t>(this  needs to explicit  in the  comments  box)</t>
    </r>
    <r>
      <rPr>
        <sz val="6"/>
        <rFont val="Arial"/>
        <family val="2"/>
      </rPr>
      <t xml:space="preserve">
Upside &gt; 25% = 1, upside &lt; 10% = 5</t>
    </r>
  </si>
  <si>
    <t>Quality  of the balance sheet:
     - Gearing 
     - Free Cash Flow 
     - Level of receivables
     - Debt profile</t>
  </si>
  <si>
    <t>1.  Nature of the franchise/competitive 
     advantage/barriers to entry 
     - Technology? Product? Distribution?
2.  Efficiency of the franchise
     - Market share, ROE/ROIC, EBITDA margin
3.  Stability of the franchise
    - Volatility of the earnings/stock</t>
  </si>
  <si>
    <r>
      <rPr>
        <b/>
        <sz val="6"/>
        <color rgb="FF4D4D4D"/>
        <rFont val="Arial"/>
        <family val="2"/>
      </rPr>
      <t>1.  Competence</t>
    </r>
    <r>
      <rPr>
        <sz val="6"/>
        <color rgb="FF4D4D4D"/>
        <rFont val="Arial"/>
        <family val="2"/>
      </rPr>
      <t xml:space="preserve">
     - Track record, market vision, business  plan
</t>
    </r>
    <r>
      <rPr>
        <b/>
        <sz val="6"/>
        <color rgb="FF4D4D4D"/>
        <rFont val="Arial"/>
        <family val="2"/>
      </rPr>
      <t>2.  Commitment</t>
    </r>
    <r>
      <rPr>
        <sz val="6"/>
        <color rgb="FF4D4D4D"/>
        <rFont val="Arial"/>
        <family val="2"/>
      </rPr>
      <t xml:space="preserve">
     - Strong Share based compensation  plan.
</t>
    </r>
    <r>
      <rPr>
        <b/>
        <sz val="6"/>
        <color rgb="FF4D4D4D"/>
        <rFont val="Arial"/>
        <family val="2"/>
      </rPr>
      <t>3.  Alignment  with minority  shareholders</t>
    </r>
    <r>
      <rPr>
        <sz val="6"/>
        <color rgb="FF4D4D4D"/>
        <rFont val="Arial"/>
        <family val="2"/>
      </rPr>
      <t xml:space="preserve">
     - Corporate governance 
     - 100% Tag-Along Rights
     - Accessibility</t>
    </r>
  </si>
  <si>
    <t>45,1</t>
  </si>
  <si>
    <t>EUR</t>
  </si>
  <si>
    <t>52,1</t>
  </si>
  <si>
    <t>80,1</t>
  </si>
  <si>
    <t>1300,1</t>
  </si>
  <si>
    <t>31/12/2018</t>
  </si>
  <si>
    <t>Materials</t>
  </si>
  <si>
    <t>Specialty Chemicals</t>
  </si>
  <si>
    <t>NL</t>
  </si>
  <si>
    <t>Koninklijke DSM N.V. (Royal DSM) is a global science-based company,</t>
  </si>
  <si>
    <t>engaged in offering health, nutrition and materials. The Company's</t>
  </si>
  <si>
    <t>segments include Nutrition, Performance Materials, Innovation Center and</t>
  </si>
  <si>
    <t>Corporate Activities. Its Nutrition segment includes DSM Nutritional</t>
  </si>
  <si>
    <t>Products and DSM Food Specialties. Its Performance Materials segment</t>
  </si>
  <si>
    <t>consists of DSM Engineering Plastics, DSM Dyneema, and DSM Resins and</t>
  </si>
  <si>
    <t>Functional Materials. Its Innovation Center segment serves as an enabler</t>
  </si>
  <si>
    <t>and accelerator of innovation within DSM, as well as providing support to</t>
  </si>
  <si>
    <t>the clusters. Its Corporate Activities segment includes various holding</t>
  </si>
  <si>
    <t>companies and corporate overheads. The Corporate Activities segment</t>
  </si>
  <si>
    <t>includes Sitech Services. The Company delivers its solutions in global</t>
  </si>
  <si>
    <t>markets, such as food and dietary supplements, personal care, feed,</t>
  </si>
  <si>
    <t>medical devices, automotive, paints, electrical and electronics, life</t>
  </si>
  <si>
    <t>protection, alternative energy and bio-based materials.</t>
  </si>
  <si>
    <t>Euronext Amsterdam</t>
  </si>
  <si>
    <t>KONINKLIJKE DSM NV ORDINARY SHARES EUR1.50</t>
  </si>
  <si>
    <t>B0HZL93</t>
  </si>
  <si>
    <t>James Govan</t>
  </si>
  <si>
    <t>MSCI AC World</t>
  </si>
  <si>
    <t>06 June 2019</t>
  </si>
  <si>
    <t>NETHERLANDS</t>
  </si>
  <si>
    <t>1</t>
  </si>
  <si>
    <t>Koninklijke DSM N.V. (Royal DSM) is a global science-based company, engaged in offering health, nutrition and materials. The Company's segments include Nutrition, Performance Materials, Innovation Center and Corporate Activities. Its Nutrition segment includes DSM Nutritional Products and DSM Food Specialties. Its Performance Materials segment consists of DSM Engineering Plastics, DSM Dyneema, and DSM Resins and Functional Materials. Its Innovation Center segment serves as an enabler and accelerator of innovation within DSM, as well as providing support to the clusters. Its Corporate Activities segment includes various holding companies and corporate overheads. The Corporate Activities segment includes Sitech Services. The Company delivers its solutions in global markets, such as food and dietary supplements, personal care, feed, medical devices, automotive, paints, electrical and electronics, life protection, alternative energy and bio-based materials.</t>
  </si>
  <si>
    <t>Introduction</t>
  </si>
  <si>
    <t>ESG</t>
  </si>
  <si>
    <t>Geographic/Industry Splits</t>
  </si>
  <si>
    <t>Addressing malnutrition: e.g. Vitamin D deficiencies, "Hidden Hunger" (MixMe)</t>
  </si>
  <si>
    <t>Sales</t>
  </si>
  <si>
    <t>€7,722m</t>
  </si>
  <si>
    <t>Climate Change &amp; Energy: bio-based renewables (bioplastics/fuels), Climate Change (lightweigting, solar coatings)</t>
  </si>
  <si>
    <t>Net sales by origin</t>
  </si>
  <si>
    <t>Net sales by destination</t>
  </si>
  <si>
    <t>Net sales by end-use market:</t>
  </si>
  <si>
    <t>Net sales by busines unit:</t>
  </si>
  <si>
    <t>EBITDA</t>
  </si>
  <si>
    <t>€1,075m</t>
  </si>
  <si>
    <t>Netherlands</t>
  </si>
  <si>
    <t>Animal Nutrition:</t>
  </si>
  <si>
    <t>Nutrition:</t>
  </si>
  <si>
    <t>Margin</t>
  </si>
  <si>
    <t>"CleanCow" - 2018 launch, reduces methane by 30%</t>
  </si>
  <si>
    <t>Rest of W Europe</t>
  </si>
  <si>
    <t>Human Nutrition:</t>
  </si>
  <si>
    <t>Materials:</t>
  </si>
  <si>
    <t>ROCE</t>
  </si>
  <si>
    <t>E Europe</t>
  </si>
  <si>
    <t>Food Specialties:</t>
  </si>
  <si>
    <t>Innovation Centre:</t>
  </si>
  <si>
    <t>N America</t>
  </si>
  <si>
    <t>Personal Care:</t>
  </si>
  <si>
    <t xml:space="preserve">Corporate: </t>
  </si>
  <si>
    <t>Lat Am</t>
  </si>
  <si>
    <t>Metal/building &amp; construction:</t>
  </si>
  <si>
    <t>Automotive/transport:</t>
  </si>
  <si>
    <t>India</t>
  </si>
  <si>
    <t>Textiles:</t>
  </si>
  <si>
    <t>Japan</t>
  </si>
  <si>
    <t>Electrical/electronics:</t>
  </si>
  <si>
    <t>Rest of Asia</t>
  </si>
  <si>
    <t>Packaging:</t>
  </si>
  <si>
    <t>RoW</t>
  </si>
  <si>
    <t>Other:</t>
  </si>
  <si>
    <t>History</t>
  </si>
  <si>
    <t>Management:</t>
  </si>
  <si>
    <t>Hoffman La Roche Vitamins (est 1930s) - chemical synthesis + biotechnology</t>
  </si>
  <si>
    <t>Gist-Brocades (est 1869) - biotechnology</t>
  </si>
  <si>
    <t>Combined to create DSM</t>
  </si>
  <si>
    <t>DSM was originally a coal mining company - De Nederlandse Staatsmijnen or Dutch State Mines</t>
  </si>
  <si>
    <t>1950-1980 - shift to cehmical and fertiliser products…</t>
  </si>
  <si>
    <t>1989 - listed on AEX stock exchange</t>
  </si>
  <si>
    <t>Acquired Gist-Brocades in 1998</t>
  </si>
  <si>
    <t>2002-03 - sales of petrochemicals business, acquired Roche's Vitamins and Fine Chemicals division</t>
  </si>
  <si>
    <t>Division became DSM Nutritional Products</t>
  </si>
  <si>
    <t>2005-10 - focus on Life Sciences and Materials Sciences, divestment of non-core businesses</t>
  </si>
  <si>
    <t>Melamine, Agro, Elastomers</t>
  </si>
  <si>
    <t xml:space="preserve">Acquisitions: </t>
  </si>
  <si>
    <t>Martek 2011</t>
  </si>
  <si>
    <t>ONC, Kernsey, Nash, Fortitech 2012</t>
  </si>
  <si>
    <t>Tortuga 2013</t>
  </si>
  <si>
    <t>Aland 2015</t>
  </si>
  <si>
    <t>Partnerships:</t>
  </si>
  <si>
    <t>DSM Sinochem Pharmaceuticals 2011</t>
  </si>
  <si>
    <t>Patheon 2014</t>
  </si>
  <si>
    <t>ChemicalInvest 2015</t>
  </si>
  <si>
    <t>Segments</t>
  </si>
  <si>
    <t>JVs</t>
  </si>
  <si>
    <t>Strategy:</t>
  </si>
  <si>
    <t>DSP: founded in 2011 when Sinochem took a 50% interest in DSM Anti-Infectives</t>
  </si>
  <si>
    <t xml:space="preserve">Stragegy 2018: </t>
  </si>
  <si>
    <t>Nutritional Products &amp; Food Specialties</t>
  </si>
  <si>
    <t>Global leader in generic anti-infective molecules</t>
  </si>
  <si>
    <t xml:space="preserve">2 Headline Financial Targets: </t>
  </si>
  <si>
    <t>€4,963m</t>
  </si>
  <si>
    <t>Sales Breakdown:</t>
  </si>
  <si>
    <t>Sales by region:</t>
  </si>
  <si>
    <t>Sell raw materials, intermediates (enzymatic beta-lactam), APIs and finished dosage</t>
  </si>
  <si>
    <t>High single digit EBITDA growth</t>
  </si>
  <si>
    <t>€822m</t>
  </si>
  <si>
    <t>Europe</t>
  </si>
  <si>
    <t>€418m</t>
  </si>
  <si>
    <t>High double-digit basis point annual ROCE growth</t>
  </si>
  <si>
    <t>Human Nutrition</t>
  </si>
  <si>
    <t>€57m</t>
  </si>
  <si>
    <t>Outpace market growth in all segments</t>
  </si>
  <si>
    <t>2018 Target</t>
  </si>
  <si>
    <t>18-20%</t>
  </si>
  <si>
    <t>Food Specialties</t>
  </si>
  <si>
    <t>€250-300m cost reduction/efficiency programs</t>
  </si>
  <si>
    <t>Personal Care</t>
  </si>
  <si>
    <t>Asia</t>
  </si>
  <si>
    <t>Costistent improvement in capital efficiency</t>
  </si>
  <si>
    <t>Patheon Pharma: created in 2014, DSM combined Pharma Products with JLL Partners Patheon in return for 49% stake</t>
  </si>
  <si>
    <t>Unique breadth of offerings from finished dosage (drug products) to APIs</t>
  </si>
  <si>
    <t>Serves global industries for animal feed, food/beverges, pharma, infant nutrition, dietary supplements, personal care</t>
  </si>
  <si>
    <t>€1,621m</t>
  </si>
  <si>
    <t>Nutrition uniquely positioned acorss the value chain - global and highly diversified portfolio of products, services</t>
  </si>
  <si>
    <t>€366m</t>
  </si>
  <si>
    <t>Global presence and unparallele local network</t>
  </si>
  <si>
    <t xml:space="preserve">Uniquely positioned in all steps of value chain: </t>
  </si>
  <si>
    <t>Production of active ingredients --&gt; incorporation --&gt; tailored premixes/forward solutions</t>
  </si>
  <si>
    <t>ChemicalInvest: includes former bulk chemical activities of DSM in which DSM retains a 35% stake - 65% CVC Capital Partners</t>
  </si>
  <si>
    <t>Caprolactam, acrylonitrile, composite resins</t>
  </si>
  <si>
    <t>2018 "aspirations"</t>
  </si>
  <si>
    <t>€756m</t>
  </si>
  <si>
    <t>EBITDA growth:</t>
  </si>
  <si>
    <t>high single digit</t>
  </si>
  <si>
    <t>€-3m</t>
  </si>
  <si>
    <t>ROCE growth:</t>
  </si>
  <si>
    <t>high double-digit bps</t>
  </si>
  <si>
    <t>EBITDA margins:</t>
  </si>
  <si>
    <t>18-20% over the period</t>
  </si>
  <si>
    <t>Sales growth:</t>
  </si>
  <si>
    <t>above market, at stable prices</t>
  </si>
  <si>
    <t>high-quality specialised materials serving autos, electrical, construction, consumer, food-packaging markets</t>
  </si>
  <si>
    <t>Portfolio of Ingredients:</t>
  </si>
  <si>
    <t>€2,528m</t>
  </si>
  <si>
    <t>Sales by division</t>
  </si>
  <si>
    <t>Sales by region</t>
  </si>
  <si>
    <t>Vitamins A,D,E,K:</t>
  </si>
  <si>
    <t>"Fat soluble"</t>
  </si>
  <si>
    <t>€384m</t>
  </si>
  <si>
    <t>Engineering Plastics:</t>
  </si>
  <si>
    <t>Vitamins B,C:</t>
  </si>
  <si>
    <t>"Water soluble"</t>
  </si>
  <si>
    <t>Dyneema:</t>
  </si>
  <si>
    <t>Carotenoids:</t>
  </si>
  <si>
    <t xml:space="preserve">antioxidants for nutrition and appeal (coloration). </t>
  </si>
  <si>
    <t>&gt;15%</t>
  </si>
  <si>
    <t>Resins &amp; Functional Materials:</t>
  </si>
  <si>
    <t>Marine PUFAs</t>
  </si>
  <si>
    <t xml:space="preserve">polyunsaturated fatty acids - brain function, vision, immune </t>
  </si>
  <si>
    <t>Microbial PUFAs</t>
  </si>
  <si>
    <t>Omega 3, 6 - food and dietary supplements from algae, fungi and fish oil</t>
  </si>
  <si>
    <t>Enzymes + Cultures</t>
  </si>
  <si>
    <t>Enzymes improve feed conversion, reduce cost, health benefits etc</t>
  </si>
  <si>
    <t>Minerals &amp; DCP</t>
  </si>
  <si>
    <t>Dicalcium Phosphates - trace minerals, inorganic, needed in small amounts</t>
  </si>
  <si>
    <t>Leading provider of sustainable innovations - meeting demands for greater efficiency, safer materials, improved environmental perf</t>
  </si>
  <si>
    <t>Savory/yeast extracts</t>
  </si>
  <si>
    <t>Extracts/processed flavours to enhance taste, reduce salt</t>
  </si>
  <si>
    <t>Nutraceutical ingredients</t>
  </si>
  <si>
    <t>deliver balance of micro-flora in gastrointestinal tract of livestock, also human</t>
  </si>
  <si>
    <t>Aroma intermediates</t>
  </si>
  <si>
    <t>high purity/quality ingredients</t>
  </si>
  <si>
    <t>Other blend ingredients</t>
  </si>
  <si>
    <t>includes UV filters for skin/hair applications</t>
  </si>
  <si>
    <t>Also skin-bio-activities (vitamins, synthetic peptides etc)</t>
  </si>
  <si>
    <t>Strategy 2018</t>
  </si>
  <si>
    <t>Animal Nutrition &amp; Health:</t>
  </si>
  <si>
    <t>Serves global feed and ingredients markets for poultry, swine, aquaculture, ruminants and pets</t>
  </si>
  <si>
    <t>Highly specified application development for customers in High Performance Platsics "winning" segments</t>
  </si>
  <si>
    <t xml:space="preserve">Focus on nutritional ingredients and additives segments </t>
  </si>
  <si>
    <t>Leverage global footprint of commercial/technical resources to lead PA6 + high performance polyamides markets</t>
  </si>
  <si>
    <t>Markets are driven by population growth and rising standards of living</t>
  </si>
  <si>
    <t>Global feed markets driven by knowledge of animal genetics and improvements in nutrition efficiency</t>
  </si>
  <si>
    <t>Development of new application segments and product solutions in existing segments for Fiber Solutions</t>
  </si>
  <si>
    <t>Protein markets are focussing on productivity improvements ex antibiotics</t>
  </si>
  <si>
    <t>Continue to re-focus on growing Life Protection segment</t>
  </si>
  <si>
    <t>--&gt; feed with higher nutritional content = more nutritional ingredients</t>
  </si>
  <si>
    <t>Few global players in feed/premix and animal protein, many mid-sized/local players</t>
  </si>
  <si>
    <t>Grow customer base profiting from Fiber-to-Home trend</t>
  </si>
  <si>
    <t>DSM is "uniquely positioned, offering a complete portfolio of targeted feed ingredients"</t>
  </si>
  <si>
    <t>Drive substitution from solvent to water and other sustainable solutions in Coatings</t>
  </si>
  <si>
    <t>They argue competitors only cover part of the value chain</t>
  </si>
  <si>
    <t xml:space="preserve">DSM EP is a global engineering plastics player with a broad range of value adding, high performance </t>
  </si>
  <si>
    <t>polyamides and polyesters</t>
  </si>
  <si>
    <t>Targets 3 key industries: automotive, electrical/electronics and flexible food packaging</t>
  </si>
  <si>
    <t>Automotive: focus on weight and friction reduction to lower fuel consumption (also EV/hybrids)</t>
  </si>
  <si>
    <t>Key drivers = reduction of vehicle footprints using bio-based/recycled materials</t>
  </si>
  <si>
    <t>BUT always still have to improve safety, comfort etc</t>
  </si>
  <si>
    <t>Electrical: improvements in terms of functionality, miniaturisation and process efficiency</t>
  </si>
  <si>
    <t>Also looking at ways to reduce e-waste…</t>
  </si>
  <si>
    <t>Flexible packaging: longer shelf life, and reduction of waste</t>
  </si>
  <si>
    <t>Focused portfolio, global leadership positions</t>
  </si>
  <si>
    <t>High performance plastics:</t>
  </si>
  <si>
    <t>2018 strategy:</t>
  </si>
  <si>
    <t>Stanyl, Arnite, Akulon</t>
  </si>
  <si>
    <t>double digit growth from feed enzymes and eubiotics solutions</t>
  </si>
  <si>
    <t>Seek to continually shift to higher value add</t>
  </si>
  <si>
    <t>growth in underpenetrated species (aqua, pet, dairy)</t>
  </si>
  <si>
    <t>Includes introducing more grades</t>
  </si>
  <si>
    <t>I.e. grow beyond historical core of poultry</t>
  </si>
  <si>
    <t>Unique competences:</t>
  </si>
  <si>
    <t>Leverage Tortuga in Lat Am beyond Brazil</t>
  </si>
  <si>
    <t>Low emission concepts</t>
  </si>
  <si>
    <t>Further expansion of global premix network</t>
  </si>
  <si>
    <t>Halogen/lead free</t>
  </si>
  <si>
    <t>Eco-efficiency</t>
  </si>
  <si>
    <t>Case Study:</t>
  </si>
  <si>
    <t>Cradle-to-cradle certified solutions</t>
  </si>
  <si>
    <t>"CleanCow" - feed supplement reduces methane emissions by about 30%...</t>
  </si>
  <si>
    <t>Recycle-based concepts</t>
  </si>
  <si>
    <t>Launch post 2018</t>
  </si>
  <si>
    <t>Bio-based concepts</t>
  </si>
  <si>
    <t>Human Nutrition &amp; Health</t>
  </si>
  <si>
    <r>
      <t xml:space="preserve">Case Study: </t>
    </r>
    <r>
      <rPr>
        <sz val="10"/>
        <rFont val="Arial"/>
        <family val="2"/>
      </rPr>
      <t>i8, BMW - thermoplastic solution with stability at &gt;200 degrees C for air intake manifold</t>
    </r>
  </si>
  <si>
    <t>(local) nutritional solutions globally for food&amp;beverage, dietary supplements, infant markets</t>
  </si>
  <si>
    <t>Additional focus on pharma/aroma ingredients</t>
  </si>
  <si>
    <t>Dyneema</t>
  </si>
  <si>
    <t>Fundamental driver is link between nutrition &amp; health…</t>
  </si>
  <si>
    <t>produces the world's strongest and lightest fibre</t>
  </si>
  <si>
    <t>Most extensive global marketing and sales reach - and scientific/technical expertise</t>
  </si>
  <si>
    <t>15x stronger than steel (weight for weight basis)</t>
  </si>
  <si>
    <t>Ideally positioned/actively pursuing strategy to profit from:</t>
  </si>
  <si>
    <t>40% stronger than aramid</t>
  </si>
  <si>
    <t>Macro-economic trends: aging populations, solutions for EM processed foods</t>
  </si>
  <si>
    <t>Can float on water</t>
  </si>
  <si>
    <t>Behavioural trends: healthier, safer, more sustainable foods</t>
  </si>
  <si>
    <t>Ultra High Molecular weight Polyethylene (UHMwPE) fibres such as Dyneema and its derivatives</t>
  </si>
  <si>
    <t>Structural trends: reforming retail landscape by being only integrated producer globally</t>
  </si>
  <si>
    <t>Lightweigting trends - replacing polyester, nylon, steel, aramids etc</t>
  </si>
  <si>
    <t>Substitution is driven by customers' and end users' needs for light weight, sustainable solutions</t>
  </si>
  <si>
    <t>Fiber Solutions - serves high-protection textiles and commercial marine &amp; sports segments</t>
  </si>
  <si>
    <t>Life Protection - provides personal and vehicle protection solutions</t>
  </si>
  <si>
    <t>Technical breakthroughs --&gt; new applications, new segments in Performance Apparel, Syntehtic Chains etc</t>
  </si>
  <si>
    <t>Fibre Solutions:</t>
  </si>
  <si>
    <r>
      <t xml:space="preserve">High Protection Textiles: </t>
    </r>
    <r>
      <rPr>
        <sz val="10"/>
        <rFont val="Arial"/>
        <family val="2"/>
      </rPr>
      <t>Dyneema Diamond Technology</t>
    </r>
  </si>
  <si>
    <t>Combination of high cut resistance and comfort</t>
  </si>
  <si>
    <r>
      <t xml:space="preserve">Commercial Marine &amp; Sports: </t>
    </r>
    <r>
      <rPr>
        <sz val="10"/>
        <rFont val="Arial"/>
        <family val="2"/>
      </rPr>
      <t>various fibres including MaxTech and XBO Technology</t>
    </r>
  </si>
  <si>
    <t>Unique combination of tenacity and low creep or bending fatigue</t>
  </si>
  <si>
    <r>
      <t xml:space="preserve">Life Protection: </t>
    </r>
    <r>
      <rPr>
        <sz val="10"/>
        <rFont val="Arial"/>
        <family val="2"/>
      </rPr>
      <t>force multiplier and anti stab</t>
    </r>
  </si>
  <si>
    <t>Force multiplier technology is the lightest/most flexible solution</t>
  </si>
  <si>
    <t>Repair growth in N America</t>
  </si>
  <si>
    <t>Latest Innovations:</t>
  </si>
  <si>
    <t>Return Dietary supplements (vitamins, Omega 3) and F&amp;B to growth</t>
  </si>
  <si>
    <t>Radomes: Dyneema Crystal Technology - innovation for protection of radar equipment</t>
  </si>
  <si>
    <t>Continue double digit growth of i-Health business</t>
  </si>
  <si>
    <t>Radar transparency…</t>
  </si>
  <si>
    <t>Continued strong performance of base brands</t>
  </si>
  <si>
    <t>Performance Apparel: fibres and fabrics with improved strength, durability but lightweight</t>
  </si>
  <si>
    <t>Expand in categories (bladder control, cough and cold etc)</t>
  </si>
  <si>
    <t>Synthetic Chains: solutions offering improved safety, handling and reduced noise</t>
  </si>
  <si>
    <t>Expand in channels (e.g. medical, natural, digital etc)</t>
  </si>
  <si>
    <t>Accelerating forward solutions and premix globally</t>
  </si>
  <si>
    <t>Stepped up efforts to truly create a global premix businessx</t>
  </si>
  <si>
    <t>DRF is a global leader of sustainable, waterborne coating and powder coating resins</t>
  </si>
  <si>
    <t>Best in class systrems and processes</t>
  </si>
  <si>
    <t>Used in a wide range of applications</t>
  </si>
  <si>
    <t>Capture new business in nutritional ingredients for Pharma, Clinical and Sports Nutrition</t>
  </si>
  <si>
    <t>UV-curable fiber-optic coatings are recognised globally</t>
  </si>
  <si>
    <t>Key trend: shift from tradiational solvent based to water based on sustainability grounds</t>
  </si>
  <si>
    <t>Active, performance, technical ingredients and "innovative" solutions for beauty products</t>
  </si>
  <si>
    <t>They are expanding field of properties to enlarge range of potential applications</t>
  </si>
  <si>
    <t>Focus on sun, skin and hair care…</t>
  </si>
  <si>
    <t xml:space="preserve">Legislation is also driving switch to water based coatings… </t>
  </si>
  <si>
    <t>UV filters, vitamins, synthetic peptides, natrual bio-actives, specialty emulsifiers,</t>
  </si>
  <si>
    <t>e.g. legislation against VOC continues to be an important driver</t>
  </si>
  <si>
    <t>sensory modifiers, hair polymers</t>
  </si>
  <si>
    <t>In fiber-optic coatings, signal reliability and field performance are main drivers for growth</t>
  </si>
  <si>
    <t>Complemented by formulation expertise, sensory competence, technical support, quality assurance</t>
  </si>
  <si>
    <t xml:space="preserve">Global bandwidth demand continue to surge… </t>
  </si>
  <si>
    <t>Also regulatory approval</t>
  </si>
  <si>
    <t>Business driven by global megatrends, local cosnumer beauty trends, growth in EM</t>
  </si>
  <si>
    <t>Leading global supplier of specialty food ingredients to dairy, baking, beverages and savory</t>
  </si>
  <si>
    <t>Growth driven by demand for higher value-added products</t>
  </si>
  <si>
    <t>Healthier, better tasting, more appealing to customers</t>
  </si>
  <si>
    <t>But also need to reduce costs and improve production processes</t>
  </si>
  <si>
    <t>Production - classical and modern biotechnology techniques based on fermentation and enzymes</t>
  </si>
  <si>
    <t>Innovation is key pillar of strategy</t>
  </si>
  <si>
    <t>2 main functions:</t>
  </si>
  <si>
    <t>1) accelerate and enable innovation power and speed</t>
  </si>
  <si>
    <t>2) Focus on areas outside current business scope</t>
  </si>
  <si>
    <t>Emerging business areas are in promising end markets</t>
  </si>
  <si>
    <t>Aim to provide LT growth platforms</t>
  </si>
  <si>
    <t>Based on core competencies in:</t>
  </si>
  <si>
    <t>Health</t>
  </si>
  <si>
    <t>Nutrition</t>
  </si>
  <si>
    <t>Support innovation in core businesses to facilitate earnings growth towards/beyond 2018</t>
  </si>
  <si>
    <t>Develop and extract value from EBAs</t>
  </si>
  <si>
    <t>Cost of innovation support = -€15-20m EBITDA/year</t>
  </si>
  <si>
    <t>Key product area</t>
  </si>
  <si>
    <t>EBITDA contribution of EBAs = €5m in 2015 --&gt; €30-40m in 2018</t>
  </si>
  <si>
    <t>Lactase</t>
  </si>
  <si>
    <t>Innovation Centre = EBITDA breakeven in 2016</t>
  </si>
  <si>
    <t>One of first to commercialise</t>
  </si>
  <si>
    <t>Maxilact is key product</t>
  </si>
  <si>
    <t>Breaks down lactose</t>
  </si>
  <si>
    <t>Also naturally sweet</t>
  </si>
  <si>
    <t xml:space="preserve">New tech = delivery system for Glaucoma, delivery mechanism inserted into eye? </t>
  </si>
  <si>
    <t>DSM operates in two segments:
- Nutrition (66% of 2018 sales), this focuses on nutritional supplements for both the animal and human health. Animal health provides solutions to increase feed conversion efficiency, health and regulation. This is a good business with volume growth of 4-5% and normalised EBITDA margins between 18% to 20%. DSM is the only true global and completely vertically integrated company. The company's offer is tailored solutioins or premixes with a high level of service, particularly in animal nutrition.
- Materials: focus on engineering plastics, coatings resins etc... Some of the products are reasonably specialised, but DSM has often struggled to truly monetise/grow what could be some quite interesting products. This again is a good business with EBITDA margins between 15-18%.</t>
  </si>
  <si>
    <t>Operational execution has been strong recently and management have done a good job in focusing the business into 2 high growth divisions. DSM made a series of nutrition acquisitions over 2011 - 14 to the sum of 2.5 billion Euros, it took some time but these businesses are now well intgrated and delivering growth. The ROE has improved now as well, which was previously a push back on the investment case. The sustainability push has been very forward looking and has set up the company for the long term.</t>
  </si>
  <si>
    <t>DSM's move towards a nutrition company and divesting the petrochemical business has significantly reduced their carbon emissions. Carbon intensity has reduced by 34% CAGR over the period 2014 to 2017. In 2018 compared to 2017, DSM has achieved a 33% improvement in greenhouse gas efficiency, improved water consumption and energy efficiency.</t>
  </si>
  <si>
    <t>Corporate governance is generally good. The supervisory board has 43% female representation and 33% participation on the management board, which is above the Dutch voluntary gender target. The the accounts have had a lot of adjustments over the years, which has reduced the transparency of the accounts. DSM have the ability to issue preference shares through a private foundation, which can be used to  protect the company from takeovers.</t>
  </si>
  <si>
    <t>Given product portfolio gearing towards health and nutrition markets as well as progress on environmental side. DSM has some interesting new products which certainly help the sustainability credentials, namely a JV with Cargill to produce Stevia and a 50/50 JV with Evonik to produce algae derived omega 3 for the fish feed market and the clean cow target.</t>
  </si>
  <si>
    <t>Growth driven by increasing revenue in nutrition and a margin improvement in materials. This was given a big boost from the vitamin tailwind in 2018.</t>
  </si>
  <si>
    <t>Strong underlying growth in nutrition but this is offset from the unwind of the vitamin tailwind of 2018.  We do assume the continuing push to downstream and value added solutions leads to a higher EBITDA margin in Nutrition. We are assuming only very modest growth in Materials given the Industrial headwinds.</t>
  </si>
  <si>
    <t>Longer term, we assume that DSM is able to benefit from improved price/mix in its nutritional businesses which are also supported by strong, fundamental LT drivers at the top line. In addition, we do assume that the innovation solutions does create value. We forecast 7.6% CAGR EBITDA growth over the 5 years on an underlying basis, stripping out the vitamin price tailwind of 2018. The strong vitamin prices in 2018 create a high comparative for the prospective growth. We also assume a share buyback with the surplus cash.</t>
  </si>
  <si>
    <t>Speciality Chemicals trade on a average NTM P/E 21x</t>
  </si>
  <si>
    <t xml:space="preserve">ROE = 13.1%
Long term interest rate = 4%
BVPS = 44.52 Euros
</t>
  </si>
  <si>
    <t xml:space="preserve">I use a 17x PE multiple, which is in-line with the 5 year average. 
Discount rate = 8.8% (Inflation 3.9% + Market Risk Premium 4% + Company Specific Risk 1% - ESG 0.1%)
</t>
  </si>
  <si>
    <t>DSM has a very strong balance sheet with almost net cash on the balance sheet and it is free cash flow generative.</t>
  </si>
  <si>
    <t>Column1</t>
  </si>
  <si>
    <t>Column2</t>
  </si>
  <si>
    <t>Column3</t>
  </si>
  <si>
    <t>Column4</t>
  </si>
  <si>
    <t>Analytic Type</t>
  </si>
  <si>
    <t>1/1/0001</t>
  </si>
  <si>
    <t>EPS_5YR</t>
  </si>
  <si>
    <t>TARGET_PRICE_UPSIDE</t>
  </si>
  <si>
    <t>TARGET_PRICE_DOWNSIDE</t>
  </si>
  <si>
    <t>MARKET_VALUE</t>
  </si>
  <si>
    <t>DIVIDEND_YIELD_FY0</t>
  </si>
  <si>
    <t>EPS_3Y</t>
  </si>
  <si>
    <t>EPS_2Y</t>
  </si>
  <si>
    <t>EPS_1Y</t>
  </si>
  <si>
    <t>EPS_FY0</t>
  </si>
  <si>
    <t>EPS_FY3</t>
  </si>
  <si>
    <t>EPS_FY4</t>
  </si>
  <si>
    <t>EPS_FY5</t>
  </si>
  <si>
    <t>EPS_GRWTH_2Y</t>
  </si>
  <si>
    <t>EPS_GRWTH_1Y</t>
  </si>
  <si>
    <t>EPS_GRWTH_FY0</t>
  </si>
  <si>
    <t>EPS_GRWTH_FY1</t>
  </si>
  <si>
    <t>EPS_GRWTH_FY2</t>
  </si>
  <si>
    <t>EPS_GRWTH_FY3</t>
  </si>
  <si>
    <t>EPS_GRWTH_FY4</t>
  </si>
  <si>
    <t>EPS_GRWTH_FY5</t>
  </si>
  <si>
    <t>DPS_3Y</t>
  </si>
  <si>
    <t>DPS_2Y</t>
  </si>
  <si>
    <t>DPS_1Y</t>
  </si>
  <si>
    <t>DPS_FY0</t>
  </si>
  <si>
    <t>DPS_FY1</t>
  </si>
  <si>
    <t>DPS_FY2</t>
  </si>
  <si>
    <t>DPS_FY3</t>
  </si>
  <si>
    <t>DPS_FY4</t>
  </si>
  <si>
    <t>DPS_FY5</t>
  </si>
  <si>
    <t>DPS_GRWTH_2Y</t>
  </si>
  <si>
    <t>DPS_GRWTH_1Y</t>
  </si>
  <si>
    <t>DPS_GRWTH_FY0</t>
  </si>
  <si>
    <t>DPS_GRWTH_FY1</t>
  </si>
  <si>
    <t>DPS_GRWTH_FY2</t>
  </si>
  <si>
    <t>DPS_GRWTH_FY3</t>
  </si>
  <si>
    <t>DPS_GRWTH_FY4</t>
  </si>
  <si>
    <t>DPS_GRWTH_FY5</t>
  </si>
  <si>
    <t>DPS_PAYOUT_3Y</t>
  </si>
  <si>
    <t>DPS_PAYOUT_2Y</t>
  </si>
  <si>
    <t>DPS_PAYOUT_1Y</t>
  </si>
  <si>
    <t>DPS_PAYOUT_FY0</t>
  </si>
  <si>
    <t>DPS_PAYOUT_FY1</t>
  </si>
  <si>
    <t>DPS_PAYOUT_FY2</t>
  </si>
  <si>
    <t>DPS_PAYOUT_FY3</t>
  </si>
  <si>
    <t>DPS_PAYOUT_FY4</t>
  </si>
  <si>
    <t>DPS_PAYOUT_FY5</t>
  </si>
  <si>
    <t>PE_3Y</t>
  </si>
  <si>
    <t>PE_2Y</t>
  </si>
  <si>
    <t>PE_1Y</t>
  </si>
  <si>
    <t>PE_FY0</t>
  </si>
  <si>
    <t>PE_FY1</t>
  </si>
  <si>
    <t>PE_FY2</t>
  </si>
  <si>
    <t>PE_FY3</t>
  </si>
  <si>
    <t>PE_FY4</t>
  </si>
  <si>
    <t>PE_FY5</t>
  </si>
  <si>
    <t>EPS_5YR_DISCOUNTED</t>
  </si>
  <si>
    <t>EPS_12M_FWD_VALUE</t>
  </si>
  <si>
    <t>TARGET_PE_MULTIPLE</t>
  </si>
  <si>
    <t>EQUITY_12M_FWD_VALUE</t>
  </si>
  <si>
    <t>DIVIDEND_12M_FWD_VALUE</t>
  </si>
  <si>
    <t>BARINGS_12M_TARGET_SELL_PRICE</t>
  </si>
  <si>
    <t>EPS_GRWTH_LAST_3YRS</t>
  </si>
  <si>
    <t>EPS_GRWTH_NEXT_12M</t>
  </si>
  <si>
    <t>EPS_GRWTH_CAGR_NEXT_5YRS</t>
  </si>
  <si>
    <t>EPS_GRWTH_AVERAGE</t>
  </si>
  <si>
    <t>CMP_SPECIFIC</t>
  </si>
  <si>
    <t>ESG_IMPACT</t>
  </si>
  <si>
    <t>BARINGS_DISCOUNT_RATE</t>
  </si>
  <si>
    <t>UPSIDE_EARN_VALUE</t>
  </si>
  <si>
    <t>ROE_FY0</t>
  </si>
  <si>
    <t>LTIR</t>
  </si>
  <si>
    <t>BV_MULTI</t>
  </si>
  <si>
    <t>BV_PS</t>
  </si>
  <si>
    <t>TARGET_PRICE_STATIC_VALUE</t>
  </si>
  <si>
    <t>UPSIDE_STATIC_VALUE</t>
  </si>
  <si>
    <t>ROIC_FY0</t>
  </si>
  <si>
    <t>WACC_FY0</t>
  </si>
  <si>
    <t>ROICWACC_RATIO</t>
  </si>
  <si>
    <t>CMP_PE_FY1</t>
  </si>
  <si>
    <t>CMP_PE_RELATIVE</t>
  </si>
  <si>
    <t>SECTOR_PE</t>
  </si>
  <si>
    <t>TARGET_PRICE_SECTOR_VALUE</t>
  </si>
  <si>
    <t>UPSIDE_SECTOR_VALUE</t>
  </si>
  <si>
    <t>QLTY_FRCHS_SUBSCORE</t>
  </si>
  <si>
    <t>QLTY_MGMT_SUBSCORE</t>
  </si>
  <si>
    <t>QLTY_BS_SUBSCORE</t>
  </si>
  <si>
    <t>QLTY_OVERALL_SCORE</t>
  </si>
  <si>
    <t>GRWTH_LAST_3YRS_SUBSCORE</t>
  </si>
  <si>
    <t>GRWTH_NEXT_12M_SUBSCORE</t>
  </si>
  <si>
    <t>GRWTH_CAGR_NEXT_5YRS_SUBSCORE</t>
  </si>
  <si>
    <t>GRWTH_OVERALL_SCORE</t>
  </si>
  <si>
    <t>VAL_MRKT_MEASURE_SUBSCORE</t>
  </si>
  <si>
    <t>VAL_STATIC_MEASURE_SUBSCORE</t>
  </si>
  <si>
    <t>VAL_DISC_EARNING_SUBSCORE</t>
  </si>
  <si>
    <t>VAL_OVERALL_SCORE</t>
  </si>
  <si>
    <t>ESG_KEY_ISSUE_1</t>
  </si>
  <si>
    <t>ESG_KEY_ISSUE_2</t>
  </si>
  <si>
    <t>ESG_KEY_ISSUE_3</t>
  </si>
  <si>
    <t>ESG_KEY_ISSUE_4</t>
  </si>
  <si>
    <t>ESG_KEY_ISSUE_5</t>
  </si>
  <si>
    <t>ESG_KEY_ISSUE_6</t>
  </si>
  <si>
    <t>ESG_KEY_ISSUE_7</t>
  </si>
  <si>
    <t>ESG_KEY_ISSUE_8</t>
  </si>
  <si>
    <t>ESG_KEY_ISSUE_9</t>
  </si>
  <si>
    <t>SUITABLE_DM</t>
  </si>
  <si>
    <t>SUITABLE_EM</t>
  </si>
  <si>
    <t>SUITABLE_ASIA</t>
  </si>
  <si>
    <t>SUITABLE_CHINA</t>
  </si>
  <si>
    <t>APPLICABLE_FOR_VALUATION_MODEL</t>
  </si>
  <si>
    <t>APPLICABLE_FOR_LIGHT_COVERAGE</t>
  </si>
  <si>
    <t>PART_OF_ANALYST_PLAYBOOK</t>
  </si>
  <si>
    <t>LAST_SAVED_DATE</t>
  </si>
  <si>
    <t>SELL_TARGET_REPORT_CCY</t>
  </si>
  <si>
    <t>TARGET_PRICE_UPSIDE_REPORT_CCY</t>
  </si>
  <si>
    <t>EPS_FY1_REPORT_CCY</t>
  </si>
  <si>
    <t>EPS_FY2_REPORT_CCY</t>
  </si>
  <si>
    <t>LATEST_DIV</t>
  </si>
  <si>
    <t>DIV_FREQ</t>
  </si>
  <si>
    <t>XD_DATE_PREV</t>
  </si>
  <si>
    <t>SELL_TARGET</t>
  </si>
  <si>
    <t>STOCK_SCORE</t>
  </si>
  <si>
    <t>PRICE</t>
  </si>
  <si>
    <t>PRICE_DATE</t>
  </si>
  <si>
    <t>EPS_FY1_CONSENSUS</t>
  </si>
  <si>
    <t>EPS_FY2_CONSENSUS</t>
  </si>
  <si>
    <t>EPS_FY3_CONSENSUS</t>
  </si>
  <si>
    <t>RFR_INFLATION</t>
  </si>
  <si>
    <t>MRKT_RISK_PREM</t>
  </si>
  <si>
    <t>FISCAL_YEAR_END</t>
  </si>
  <si>
    <t>THREE_YEARS_AGO_DATE</t>
  </si>
  <si>
    <t>TWO_YEARS_AGO_DATE</t>
  </si>
  <si>
    <t>ONE_YEAR_AGO_DATE</t>
  </si>
  <si>
    <t>FY0_DATE</t>
  </si>
  <si>
    <t>FY1_DATE</t>
  </si>
  <si>
    <t>FY2_DATE</t>
  </si>
  <si>
    <t>FY3_DATE</t>
  </si>
  <si>
    <t>FY4_DATE</t>
  </si>
  <si>
    <t>FY5_DATE</t>
  </si>
  <si>
    <t>PRICE_IN_REPORTING_CCY</t>
  </si>
  <si>
    <t>XRATE_ON_PRICE_DATE_FROM_PRICE_TO_REPORT_CCY</t>
  </si>
  <si>
    <t>XD_DATE</t>
  </si>
  <si>
    <t>NaN</t>
  </si>
  <si>
    <t>Excel #VALUE!, #Calc, #N/A error or not a number</t>
  </si>
  <si>
    <t>Text Item Type</t>
  </si>
  <si>
    <t>QLTY_FRCHS_COMMENTS</t>
  </si>
  <si>
    <t>QLTY_MGMT_COMMENTS</t>
  </si>
  <si>
    <t>QLTY_BS_COMMENTS</t>
  </si>
  <si>
    <t>GRWTH_LAST_3YRS_COMMENTS</t>
  </si>
  <si>
    <t>GRWTH_NEXT_12M_COMMENTS</t>
  </si>
  <si>
    <t>GRWTH_CAGR_NEXT_5YRS_COMMENTS</t>
  </si>
  <si>
    <t>VAL_MRKT_MEASURE_COMMENTS</t>
  </si>
  <si>
    <t>VAL_STATIC_MEASURE_COMMENTS</t>
  </si>
  <si>
    <t>VAL_DISC_EARNING_COMMENTS</t>
  </si>
  <si>
    <t>ESG_IMPACT_QLTY_FRCHS_SCORE</t>
  </si>
  <si>
    <t>ESG_IMPACT_QLTY_MGMT_SCORE</t>
  </si>
  <si>
    <t>ESG_IMPACT_QLTY_BS_SCORE</t>
  </si>
  <si>
    <t>BUSINESS_DESCRIPTION</t>
  </si>
  <si>
    <t>REPORTING_CURRENCY</t>
  </si>
  <si>
    <t xml:space="preserve">Koninklijke DSM N.V. (Royal DSM) is a global science-based company, engaged in offering health, nutrition and materials. The Company's segments include Nutrition, Performance Materials, Innovation Center and Corporate Activities. Its Nutrition segment includes DSM Nutritional Products and DSM Food Specialties. Its Performance Materials segment consists of DSM Engineering Plastics, DSM Dyneema, and DSM Resins and Functional Materials. Its Innovation Center segment serves as an enabler and accelerator of innovation within DSM, as well as providing support to the clusters. Its Corporate Activities segment includes various holding companies and corporate overheads. The Corporate Activities segment includes Sitech Services. The Company delivers its solutions in global markets, such as food and dietary supplements, personal care, feed, medical devices, automotive, paints, electrical and electronics, life protection, alternative energy and bio-based materials.      </t>
  </si>
  <si>
    <t>SUITABLE_DM_COMMENTS</t>
  </si>
  <si>
    <t>SUITABLE_EM_COMMENTS</t>
  </si>
  <si>
    <t>SUITABLE_ASIA_COMMENTS</t>
  </si>
  <si>
    <t>SUITABLE_CHINA_COMMENTS</t>
  </si>
  <si>
    <t>Analytic data successfully uploaded to Synapse</t>
  </si>
  <si>
    <t>Analytic data not uploaded to Synapse as it is unchanged</t>
  </si>
  <si>
    <t>Analytic data not uploaded to Synapse as it failed validation or caused an error</t>
  </si>
  <si>
    <t>Textual data successfully uploaded to Synapse</t>
  </si>
  <si>
    <t>Textual data not uploaded to Synapse as it failed validation or caused an error</t>
  </si>
  <si>
    <t>This sheet contains FactSet XML data for use with this workbook's =FDS codes.  Modifying the worksheet's contents may damage the workbook's =FDS functionality.</t>
  </si>
  <si>
    <t>Financials</t>
  </si>
  <si>
    <t>DSM Forecasts</t>
  </si>
  <si>
    <t>FY 2014</t>
  </si>
  <si>
    <t>FY 2015</t>
  </si>
  <si>
    <t>FY 2016</t>
  </si>
  <si>
    <t>FY 2017</t>
  </si>
  <si>
    <t>FY 2018</t>
  </si>
  <si>
    <t>FY 2019</t>
  </si>
  <si>
    <t>Management guidance</t>
  </si>
  <si>
    <t>Personal Opinion</t>
  </si>
  <si>
    <t xml:space="preserve">NUTRITION </t>
  </si>
  <si>
    <t xml:space="preserve">    ANIMAL NUTRITION revenue</t>
  </si>
  <si>
    <t xml:space="preserve">         Volume</t>
  </si>
  <si>
    <t xml:space="preserve">         Price</t>
  </si>
  <si>
    <t xml:space="preserve">         Organic</t>
  </si>
  <si>
    <t>organic growth my continue to be high as volumes stay fairly high an dprices are used to offset price increase as well as chinese legislation</t>
  </si>
  <si>
    <t xml:space="preserve">         M&amp;A/Other</t>
  </si>
  <si>
    <t xml:space="preserve">         FX</t>
  </si>
  <si>
    <t xml:space="preserve">         Total Growth </t>
  </si>
  <si>
    <t xml:space="preserve">     HUMAN NUTRITION revenue</t>
  </si>
  <si>
    <t xml:space="preserve">     FOOD SPECIALTIES revenue</t>
  </si>
  <si>
    <t>95% less than expected</t>
  </si>
  <si>
    <t xml:space="preserve">     PERSONAL CARE &amp; AROMA revenue</t>
  </si>
  <si>
    <t>this should pick up slowly but surely</t>
  </si>
  <si>
    <t>other</t>
  </si>
  <si>
    <t>TOTAL NUTRITION REVENUE</t>
  </si>
  <si>
    <t>Volume</t>
  </si>
  <si>
    <t>Price</t>
  </si>
  <si>
    <t>Organic</t>
  </si>
  <si>
    <t>M&amp;A/Other</t>
  </si>
  <si>
    <t>FX</t>
  </si>
  <si>
    <t xml:space="preserve">Total Growth </t>
  </si>
  <si>
    <t>management guidanc eof 5%</t>
  </si>
  <si>
    <t>Gross profit</t>
  </si>
  <si>
    <t>Gross Profit margin</t>
  </si>
  <si>
    <t>Adj EBITDA</t>
  </si>
  <si>
    <t>Adj EBITDA margin</t>
  </si>
  <si>
    <t>guidance between 20-23</t>
  </si>
  <si>
    <t>Adj EBIT</t>
  </si>
  <si>
    <t>Adj EBIT margin</t>
  </si>
  <si>
    <t>MATERIAL</t>
  </si>
  <si>
    <t>Revenue</t>
  </si>
  <si>
    <t>VERY VOLATILE - why did it go up and go down</t>
  </si>
  <si>
    <t>M&amp;A/ Other</t>
  </si>
  <si>
    <t>guidance between 18-20</t>
  </si>
  <si>
    <t>INNOVATION</t>
  </si>
  <si>
    <t>100 from clean cow</t>
  </si>
  <si>
    <t>100 (triple digits)</t>
  </si>
  <si>
    <t>6th root</t>
  </si>
  <si>
    <t>150 from veramis</t>
  </si>
  <si>
    <t>Cost to get to EBIT</t>
  </si>
  <si>
    <t xml:space="preserve">Adj EBIT </t>
  </si>
  <si>
    <t>THIS CAN T BE RIGHT</t>
  </si>
  <si>
    <t>CORPORATE ACTIVITIES</t>
  </si>
  <si>
    <t>STEVIA</t>
  </si>
  <si>
    <t>M&amp;A</t>
  </si>
  <si>
    <t xml:space="preserve">dunno about this </t>
  </si>
  <si>
    <t>T</t>
  </si>
  <si>
    <t>Total DSM</t>
  </si>
  <si>
    <t>FY15</t>
  </si>
  <si>
    <t>FY16</t>
  </si>
  <si>
    <t>FY17</t>
  </si>
  <si>
    <t>FY18</t>
  </si>
  <si>
    <t>FY19E</t>
  </si>
  <si>
    <t>FY20E</t>
  </si>
  <si>
    <t>FY21E</t>
  </si>
  <si>
    <t>FY22E</t>
  </si>
  <si>
    <t>FY23E</t>
  </si>
  <si>
    <t>Total DSM Sales</t>
  </si>
  <si>
    <t>Consensus</t>
  </si>
  <si>
    <t>Cost of sales</t>
  </si>
  <si>
    <t>Gross profit margin</t>
  </si>
  <si>
    <t>Advertising (within SG&amp;A below)</t>
  </si>
  <si>
    <t>% of sales</t>
  </si>
  <si>
    <t>Adj SG&amp;A (pre corporate expense)</t>
  </si>
  <si>
    <t>Adj Earnings Before Interest and Tax, depreciation and amortisation</t>
  </si>
  <si>
    <t>=J147/I147</t>
  </si>
  <si>
    <t>Adj EBTIDA margin</t>
  </si>
  <si>
    <t>DONE CORRECTLY</t>
  </si>
  <si>
    <t>Adj Earnings Before Interest and Tax (EBIT)</t>
  </si>
  <si>
    <t>Net interest</t>
  </si>
  <si>
    <t>Adjusted Profit before tax (PBT)</t>
  </si>
  <si>
    <t>Adj PBT</t>
  </si>
  <si>
    <t>Tax</t>
  </si>
  <si>
    <t>Tax rate</t>
  </si>
  <si>
    <t>associates</t>
  </si>
  <si>
    <t>JUST COPIED THE LAST JP PREDICTION</t>
  </si>
  <si>
    <t>Adjusted Profit after  tax (PAT)</t>
  </si>
  <si>
    <t>Minorities</t>
  </si>
  <si>
    <t>Pref dividends</t>
  </si>
  <si>
    <t>Adj net profit to oridancy shareholders (cont)</t>
  </si>
  <si>
    <t>Fully diluted weighted average share count (thousands)</t>
  </si>
  <si>
    <t>Earnings per share</t>
  </si>
  <si>
    <t>Dividend per share</t>
  </si>
  <si>
    <t>%Payout</t>
  </si>
  <si>
    <t>equity</t>
  </si>
  <si>
    <t>feb 19 they’ve just acquired 75% of Andre pectin ( which is 46% more shres than what he previously had.</t>
  </si>
  <si>
    <t>65</t>
  </si>
  <si>
    <t>Net cash</t>
  </si>
  <si>
    <t>FCF</t>
  </si>
  <si>
    <t>FCF conversion</t>
  </si>
  <si>
    <t>Dividends</t>
  </si>
  <si>
    <t>Share buybacks</t>
  </si>
  <si>
    <t>Net  debt / EBITDA</t>
  </si>
  <si>
    <t>ROE</t>
  </si>
  <si>
    <t>Net cash change</t>
  </si>
  <si>
    <t>Share price</t>
  </si>
  <si>
    <t>Shares bought</t>
  </si>
  <si>
    <t>REVENUE VS TIME</t>
  </si>
  <si>
    <t>EBITDA vs TIME</t>
  </si>
  <si>
    <t>gradually increase to 22%</t>
  </si>
  <si>
    <t>mixfit mean that in the future the human nutrition sector should pick up</t>
  </si>
  <si>
    <t>based on management guidance</t>
  </si>
  <si>
    <t>difference betwwen EBITDA and EBT is apporimmatley 4.4% which = D+A</t>
  </si>
  <si>
    <t>194</t>
  </si>
  <si>
    <t>FY 14</t>
  </si>
  <si>
    <t>FY 15</t>
  </si>
  <si>
    <t>FY 16</t>
  </si>
  <si>
    <t>FY 17</t>
  </si>
  <si>
    <t>FY 18</t>
  </si>
  <si>
    <t>FY 19</t>
  </si>
  <si>
    <t>FY 21</t>
  </si>
  <si>
    <t>FY 22</t>
  </si>
  <si>
    <t>FY 23</t>
  </si>
  <si>
    <t>FY 24</t>
  </si>
  <si>
    <t>FY 20</t>
  </si>
  <si>
    <t>loss of sales in the food and beverages sector - has been a emerging trend since 2018 and could be a structural shift</t>
  </si>
  <si>
    <t>china swine flu is going to seriously effect this business in the near future.</t>
  </si>
  <si>
    <t>q2 still strong grothw of 10%</t>
  </si>
  <si>
    <t>Book value per Share</t>
  </si>
  <si>
    <t xml:space="preserve">dsm commence a 1 billion hares buyback </t>
  </si>
  <si>
    <t>a strong pipeline of prodcuts to be released from 2020 iwards. This products. In particularly: Clean Cow, veramis and Stevia should bethe driving forece of evenu within the 5 years stated.</t>
  </si>
  <si>
    <t>High amount of growth as a result of sustained growth in animal nutrition ( main sector). In particuly</t>
  </si>
  <si>
    <t xml:space="preserve">super high due </t>
  </si>
  <si>
    <t>Few competeyitiors withn most markets. Few competitiotors within most markets. High investment and R&amp;D cosst.Effieicnecey of the franchise - decent market share, ROE/ROIC, EBIDTA margin = 15% rather than &gt;20. Foreceasts show some volatility.</t>
  </si>
  <si>
    <t>Management is very good. Shown very good initative to invet in R&amp;D thus creating a strong pipleine of good products with a lot of potential. Commitment - 1 my billion buyback program whcihc shows a lot of confidence from thr mnagement team. Good coorproate covernance.</t>
  </si>
  <si>
    <t>debtr days</t>
  </si>
  <si>
    <t>credit days</t>
  </si>
  <si>
    <t xml:space="preserve">Gearing - Net cash Postivie so grearing is 0. Free cash flow is okay. Balance sheet- shws the debotor days as 67 whenre cridtor day is 63. Debt profile at the momment is </t>
  </si>
  <si>
    <t>shares number</t>
  </si>
  <si>
    <t>price usd</t>
  </si>
  <si>
    <t>Mart cap usd</t>
  </si>
  <si>
    <t>150-360 bn per year</t>
  </si>
  <si>
    <t xml:space="preserve">500 from stevia </t>
  </si>
  <si>
    <t>potential of 1- 3bn so worst case scnario is 1bn but it’s a 50/50 JV</t>
  </si>
  <si>
    <t>NP</t>
  </si>
  <si>
    <t>Pre Tax Profit</t>
  </si>
  <si>
    <t>FY24E</t>
  </si>
  <si>
    <t>Good and reputable management team</t>
  </si>
  <si>
    <t>GHG emmisions reduced by 8%. Further plans to improve all metrics to improve sustainability of the company.</t>
  </si>
  <si>
    <t>DSM makes a range of plastics which are sensitiive to oil prices.</t>
  </si>
  <si>
    <t>Very stong water, GHG and Energy reduction plans.</t>
  </si>
  <si>
    <t>. Lost time incident rate is 0.11.Staff turnover =  13.9. Fair wages</t>
  </si>
  <si>
    <t>DSM has made it onto the fortune "ChangeTheWorld" 3 times in a row by impacting 2.5 billion people word wide.</t>
  </si>
  <si>
    <t>Good access to management. Good tax disclousrue.</t>
  </si>
  <si>
    <t>KPMG are the auditors for DSM .</t>
  </si>
  <si>
    <t>No seperation of Chairman and CEO. Decrease in Femal board Members. Director meeting attendance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</si>
</sst>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35">
    <numFmt numFmtId="43" formatCode="_(* #,##0.00_);_(* \(#,##0.00\);_(* &quot;-&quot;??_);_(@_)"/>
    <numFmt numFmtId="164" formatCode="_-* #,##0_-;\-* #,##0_-;_-* &quot;-&quot;_-;_-@_-"/>
    <numFmt numFmtId="165" formatCode="_-&quot;£&quot;* #,##0.00_-;\-&quot;£&quot;* #,##0.00_-;_-&quot;£&quot;* &quot;-&quot;??_-;_-@_-"/>
    <numFmt numFmtId="166" formatCode="_-* #,##0.00_-;\-* #,##0.00_-;_-* &quot;-&quot;??_-;_-@_-"/>
    <numFmt numFmtId="167" formatCode="0.0%"/>
    <numFmt numFmtId="168" formatCode="0.0"/>
    <numFmt numFmtId="169" formatCode="dd/mm/yyyy;@"/>
    <numFmt numFmtId="170" formatCode="0.0\x"/>
    <numFmt numFmtId="171" formatCode="dd\-mmm\-yyyy"/>
    <numFmt numFmtId="172" formatCode="[$-F800]dddd\,\ mmmm\ dd\,\ yyyy"/>
    <numFmt numFmtId="173" formatCode="#,##0.0_);\(#,##0.0\);#,##0.0_);@_)"/>
    <numFmt numFmtId="174" formatCode="0.00000"/>
    <numFmt numFmtId="175" formatCode="yyyy\.mm"/>
    <numFmt numFmtId="176" formatCode="yyyy\.mm\.dd"/>
    <numFmt numFmtId="177" formatCode="#,##0.0\ \x"/>
    <numFmt numFmtId="178" formatCode="&quot;$&quot;#,##0_);[Red]\(&quot;$&quot;#,##0\)"/>
    <numFmt numFmtId="179" formatCode="&quot;$&quot;#,##0_);\(&quot;$&quot;#,##0\)"/>
    <numFmt numFmtId="180" formatCode="_(&quot;$&quot;#,##0_)&quot;millions&quot;;\(&quot;$&quot;#,##0\)&quot; millions&quot;"/>
    <numFmt numFmtId="181" formatCode="0.0%_);\(0.0%\)"/>
    <numFmt numFmtId="182" formatCode="#,##0.0_);\(#,##0.0\)"/>
    <numFmt numFmtId="183" formatCode="0.0_)"/>
    <numFmt numFmtId="184" formatCode="0_)"/>
    <numFmt numFmtId="185" formatCode="0.000_)"/>
    <numFmt numFmtId="186" formatCode="\+0.0;[Red]\-0.0"/>
    <numFmt numFmtId="187" formatCode="&quot;£&quot;\ #,##0_);[Red]\(&quot;£&quot;\ #,##0\)"/>
    <numFmt numFmtId="188" formatCode="&quot;¥&quot;\ #,##0_);[Red]\(&quot;¥&quot;\ #,##0\)"/>
    <numFmt numFmtId="189" formatCode="&quot;$&quot;#,##0.00_);[Red]\(&quot;$&quot;#,##0.00\)"/>
    <numFmt numFmtId="190" formatCode="&quot;$&quot;#,##0.000_);\(&quot;$&quot;#,##0.000\)"/>
    <numFmt numFmtId="191" formatCode="#,##0.0##;[Red]\-#,##0.0##"/>
    <numFmt numFmtId="192" formatCode="#,##0.0;[Red]\-#,##0.0"/>
    <numFmt numFmtId="193" formatCode="#,##0.0"/>
    <numFmt numFmtId="194" formatCode="0.000_]"/>
    <numFmt numFmtId="195" formatCode="#,##0.0\ _]"/>
    <numFmt numFmtId="196" formatCode="#,##0.000_);[Red]\(#,##0.000\)"/>
    <numFmt numFmtId="197" formatCode="General_)"/>
    <numFmt numFmtId="198" formatCode="#,##0.000_);\(#,##0.000\)"/>
    <numFmt numFmtId="199" formatCode="0.0%_);\(0.0%\);\-_)"/>
    <numFmt numFmtId="200" formatCode="#,##0.0_);\(#,##0.0\);\-_)"/>
    <numFmt numFmtId="201" formatCode="&quot;$&quot;&quot; &quot;#,##0.000_);\(&quot;$&quot;&quot; &quot;#,##0.000\);\-_)"/>
    <numFmt numFmtId="202" formatCode="0.000%_);\(0.000%\);\-_)"/>
    <numFmt numFmtId="203" formatCode="&quot;$&quot;#,##0.0_);\(&quot;$&quot;#,##0.0\)"/>
    <numFmt numFmtId="204" formatCode="\£#,##0_);\(\£#,##0\)"/>
    <numFmt numFmtId="205" formatCode="&quot;•&quot;\ \ @"/>
    <numFmt numFmtId="206" formatCode="#,##0.00\ &quot;F&quot;;[Red]\-#,##0.00\ &quot;F&quot;"/>
    <numFmt numFmtId="207" formatCode="_-* #,##0\ &quot;F&quot;_-;\-* #,##0\ &quot;F&quot;_-;_-* &quot;-&quot;\ &quot;F&quot;_-;_-@_-"/>
    <numFmt numFmtId="208" formatCode="_-* #,##0\ _F_-;\-* #,##0\ _F_-;_-* &quot;-&quot;\ _F_-;_-@_-"/>
    <numFmt numFmtId="209" formatCode="_-* #,##0.00\ &quot;F&quot;_-;\-* #,##0.00\ &quot;F&quot;_-;_-* &quot;-&quot;??\ &quot;F&quot;_-;_-@_-"/>
    <numFmt numFmtId="210" formatCode="_-* #,##0.00\ _F_-;\-* #,##0.00\ _F_-;_-* &quot;-&quot;??\ _F_-;_-@_-"/>
    <numFmt numFmtId="211" formatCode="d/m/yy"/>
    <numFmt numFmtId="212" formatCode="#,##0.00_);\(#,##0.00\);\-_0_)"/>
    <numFmt numFmtId="213" formatCode="#,##0_%_);\(#,##0\)_%;#,##0_%_);@_%_)"/>
    <numFmt numFmtId="214" formatCode="#,##0;[Red]\(#,##0\)"/>
    <numFmt numFmtId="215" formatCode="#,##0_%_);\(#,##0\)_%;**;@_%_)"/>
    <numFmt numFmtId="216" formatCode="#,##0.0;\n\/\a"/>
    <numFmt numFmtId="217" formatCode="#,##0.0_);[Red]\(#,##0.0\)"/>
    <numFmt numFmtId="218" formatCode="#,##0.0\x_);\(#,##0.0\x\)"/>
    <numFmt numFmtId="219" formatCode="0.00_);\(0.00\);0.00"/>
    <numFmt numFmtId="220" formatCode="&quot;$&quot;#,##0_%_);\(&quot;$&quot;#,##0\)_%;&quot;$&quot;#,##0_%_);@_%_)"/>
    <numFmt numFmtId="221" formatCode="&quot;$&quot;#,##0.0_);[Red]\(&quot;$&quot;#,##0.0\)"/>
    <numFmt numFmtId="222" formatCode="&quot;$&quot;#,##0\ ;\(&quot;$&quot;#,##0\)"/>
    <numFmt numFmtId="223" formatCode="@\ \ \ \ \ "/>
    <numFmt numFmtId="224" formatCode="#,##0;\(#,##0\)"/>
    <numFmt numFmtId="225" formatCode="m/yy"/>
    <numFmt numFmtId="226" formatCode="0.000000000_);[Red]\(0.000000000\)"/>
    <numFmt numFmtId="227" formatCode="\ \ _•&quot;–&quot;\ \ \ \ @"/>
    <numFmt numFmtId="228" formatCode="m/d/yy_)"/>
    <numFmt numFmtId="229" formatCode="m/d/yy_%_)"/>
    <numFmt numFmtId="230" formatCode="m/d/yyyy\ h:mm:ss"/>
    <numFmt numFmtId="231" formatCode="yyyy"/>
    <numFmt numFmtId="232" formatCode="#,##0.0;\(#,##0.0\)"/>
    <numFmt numFmtId="233" formatCode="_###0;_(* \(#,##0\);_(* &quot;-&quot;??_);_(@_)"/>
    <numFmt numFmtId="234" formatCode="0_%_);\(0\)_%;0_%_);@_%_)"/>
    <numFmt numFmtId="235" formatCode="_(&quot;$&quot;* #,##0_);_(&quot;$&quot;* \(#,##0\);_(&quot;$&quot;* &quot;-&quot;_);_(@_)"/>
    <numFmt numFmtId="236" formatCode="#,##0\ ;[Red]\(#,##0\)\ "/>
    <numFmt numFmtId="237" formatCode="&quot;$&quot;#,##0.00_)\ \ \ \ \ ;\(&quot;$&quot;#,##0.00\)\ \ \ \ \ "/>
    <numFmt numFmtId="238" formatCode="&quot;$&quot;#,##0.00\A\ \ \ \ ;\(&quot;$&quot;#,##0.00\A\)\ \ \ \ "/>
    <numFmt numFmtId="239" formatCode="&quot;$&quot;#,##0.00&quot;E&quot;\ \ \ \ ;\(&quot;$&quot;#,##0.00&quot;E&quot;\)\ \ \ \ "/>
    <numFmt numFmtId="240" formatCode="#,##0.00\A\ \ \ \ ;\(#,##0.00\A\)\ \ \ \ "/>
    <numFmt numFmtId="241" formatCode="&quot;$&quot;#,##0.00&quot;A&quot;;[Red]\(&quot;$&quot;#,##0.00\)&quot;A&quot;"/>
    <numFmt numFmtId="242" formatCode="#,##0.00&quot;E&quot;\ \ \ \ ;\(#,##0.00&quot;E&quot;\)\ \ \ \ "/>
    <numFmt numFmtId="243" formatCode="&quot;$&quot;#,##0.00&quot;E&quot;;[Red]\(&quot;$&quot;#,##0.00\)&quot;E&quot;"/>
    <numFmt numFmtId="244" formatCode="&quot;EBITDA&quot;0.0"/>
    <numFmt numFmtId="245" formatCode="_([$€]* #,##0.00_);_([$€]* \(#,##0.00\);_([$€]* &quot;-&quot;??_);_(@_)"/>
    <numFmt numFmtId="246" formatCode="#,##0.0000\ ;\(#,##0.0000\)"/>
    <numFmt numFmtId="247" formatCode="0%\ \ \ \ \ \ \ "/>
    <numFmt numFmtId="248" formatCode="&quot;£&quot;#,##0.0;[Red]\-&quot;£&quot;#,##0.0"/>
    <numFmt numFmtId="249" formatCode="_(&quot;$&quot;* #,##0.000_);_(&quot;$&quot;* \(#,##0.000\);_(&quot;$&quot;* &quot;-&quot;??_);_(@_)"/>
    <numFmt numFmtId="250" formatCode="0.0%_);[Red]\(0.0%\)"/>
    <numFmt numFmtId="251" formatCode="0.0\%_);\(0.0\%\);0.0\%_);@_%_)"/>
    <numFmt numFmtId="252" formatCode="_-* #,##0.00\ &quot;€&quot;_-;\-* #,##0.00\ &quot;€&quot;_-;_-* &quot;-&quot;??\ &quot;€&quot;_-;_-@_-"/>
    <numFmt numFmtId="253" formatCode="###0"/>
    <numFmt numFmtId="254" formatCode="#,##0\ ;\(#,##0\)"/>
    <numFmt numFmtId="255" formatCode="0.00_);\(0.00\);0.00_)"/>
    <numFmt numFmtId="256" formatCode="#,##0\ ;\(#,##0\);\ \-\ "/>
    <numFmt numFmtId="257" formatCode="#,##0.000"/>
    <numFmt numFmtId="258" formatCode="0.000"/>
    <numFmt numFmtId="259" formatCode="_(&quot;$&quot;* #,##0_)\ &quot;millions&quot;;_(&quot;$&quot;* \(#,##0\)&quot; millions&quot;"/>
    <numFmt numFmtId="260" formatCode="&quot;$&quot;#,##0&quot; MM&quot;;\(&quot;$&quot;#,##0.00&quot; MM&quot;\)"/>
    <numFmt numFmtId="261" formatCode="0.00\x__"/>
    <numFmt numFmtId="262" formatCode="_(&quot;$&quot;\ #,##0.0_);_(&quot;$&quot;\ \(#,##0.0\);_(&quot;$&quot;\ &quot;-&quot;??_);_(@_)"/>
    <numFmt numFmtId="263" formatCode="_(&quot;$&quot;* #,##0.0000_);_(&quot;$&quot;* \(#,##0.0000\);_(&quot;$&quot;* &quot;-&quot;??_);_(@_)"/>
    <numFmt numFmtId="264" formatCode="@&quot; MM&quot;"/>
    <numFmt numFmtId="265" formatCode="#,##0.00;\(#,##0.00\);0.00"/>
    <numFmt numFmtId="266" formatCode="_(&quot;$&quot;* #,##0.00_);_(&quot;$&quot;* \(#,##0.00\);_(&quot;$&quot;* &quot;-&quot;??_);_(@_)"/>
    <numFmt numFmtId="267" formatCode="#,##0.00\x_);[Red]\(#,##0.00\x\)"/>
    <numFmt numFmtId="268" formatCode="0.0E+00"/>
    <numFmt numFmtId="269" formatCode="#,##0.0;[Red]\(#,##0.0\)"/>
    <numFmt numFmtId="270" formatCode="0.00_)"/>
    <numFmt numFmtId="271" formatCode="#,##0.0_)\ ;\(#,##0.0\)_;"/>
    <numFmt numFmtId="272" formatCode="#,##0.00;\(#,##0.00\)"/>
    <numFmt numFmtId="273" formatCode="0.000000%"/>
    <numFmt numFmtId="274" formatCode="_(* #,##0.00000_);_(* \(#,##0.00000\);_(* &quot;-&quot;??_);_(@_)"/>
    <numFmt numFmtId="275" formatCode="#,##0.0&quot;x&quot;;\-#,##0.0&quot;x&quot;;0.0&quot;x&quot;"/>
    <numFmt numFmtId="276" formatCode="0.0\ \ \ \ \ \ "/>
    <numFmt numFmtId="277" formatCode="0.0%\ \ \ \ \ "/>
    <numFmt numFmtId="278" formatCode="0.00000_);\(0.00000\)"/>
    <numFmt numFmtId="279" formatCode="0.0000_);\(0.0000\)"/>
    <numFmt numFmtId="280" formatCode="###0.0_);[Red]\(###0.0\)"/>
    <numFmt numFmtId="281" formatCode="#,##0%_);[Red]\-#,##0%"/>
    <numFmt numFmtId="282" formatCode="#,##0.0\%_);\(#,##0.0\%\);#,##0.0\%_);@_)"/>
    <numFmt numFmtId="283" formatCode="0.0%;\(0.0\)%"/>
    <numFmt numFmtId="284" formatCode="0%;\(0\)%"/>
    <numFmt numFmtId="285" formatCode="0.0%___);\(0.0%\)__"/>
    <numFmt numFmtId="286" formatCode="0.00\%;\-0.00\%;0.00\%"/>
    <numFmt numFmtId="287" formatCode="0\p\p\t;\(0\)\p\p\t"/>
    <numFmt numFmtId="288" formatCode="0.0\p\p\t;\(0.0\)\p\p\t"/>
    <numFmt numFmtId="289" formatCode="0.00\ \ \ \ "/>
    <numFmt numFmtId="290" formatCode="_(&quot;$&quot;* #,##0.0_);_(&quot;$&quot;* \(#,##0\)"/>
    <numFmt numFmtId="291" formatCode="_(&quot;$&quot;\ #,##0.000_);_(&quot;$&quot;\ \(#,##0.000\);_(&quot;$&quot;\ &quot;-&quot;??_);_(@_)"/>
    <numFmt numFmtId="292" formatCode="_(&quot;$&quot;* #,##0.0_);_(&quot;$&quot;* \(#,##0.0\);_(&quot;$&quot;* &quot;-&quot;?_);_(@_)"/>
    <numFmt numFmtId="293" formatCode="&quot;$&quot;@"/>
    <numFmt numFmtId="294" formatCode="0.00;\-0.00;0.00"/>
    <numFmt numFmtId="295" formatCode="0.00\x;\-0.00\x;0.00\x"/>
    <numFmt numFmtId="296" formatCode="#,##0&quot;$&quot;_);\(#,##0&quot;$&quot;\)"/>
    <numFmt numFmtId="297" formatCode="0.0000000"/>
  </numFmts>
  <fonts count="258">
    <font>
      <sz val="8"/>
      <name val="Times New Roman"/>
    </font>
    <font>
      <sz val="11"/>
      <color theme="1"/>
      <name val="Arial"/>
      <family val="2"/>
      <scheme val="minor"/>
    </font>
    <font>
      <sz val="11"/>
      <color theme="1"/>
      <name val="Arial"/>
      <family val="2"/>
      <scheme val="minor"/>
    </font>
    <font>
      <sz val="11"/>
      <color theme="1"/>
      <name val="Arial"/>
      <family val="2"/>
      <scheme val="minor"/>
    </font>
    <font>
      <sz val="11"/>
      <color theme="1"/>
      <name val="Arial"/>
      <family val="2"/>
      <scheme val="minor"/>
    </font>
    <font>
      <sz val="11"/>
      <color theme="1"/>
      <name val="Arial"/>
      <family val="2"/>
      <scheme val="minor"/>
    </font>
    <font>
      <sz val="11"/>
      <color theme="1"/>
      <name val="Arial"/>
      <family val="2"/>
      <scheme val="minor"/>
    </font>
    <font>
      <sz val="11"/>
      <color theme="1"/>
      <name val="Arial"/>
      <family val="2"/>
      <scheme val="minor"/>
    </font>
    <font>
      <sz val="11"/>
      <color theme="1"/>
      <name val="Arial"/>
      <family val="2"/>
      <scheme val="minor"/>
    </font>
    <font>
      <sz val="8"/>
      <name val="Times New Roman"/>
      <family val="1"/>
    </font>
    <font>
      <sz val="8"/>
      <name val="Arial"/>
      <family val="2"/>
    </font>
    <font>
      <b/>
      <sz val="8"/>
      <name val="Arial"/>
      <family val="2"/>
    </font>
    <font>
      <sz val="8"/>
      <name val="Times New Roman"/>
      <family val="1"/>
    </font>
    <font>
      <sz val="10"/>
      <color theme="1"/>
      <name val="Arial"/>
      <family val="2"/>
    </font>
    <font>
      <sz val="10"/>
      <color theme="0"/>
      <name val="Arial"/>
      <family val="2"/>
    </font>
    <font>
      <sz val="10"/>
      <name val="Arial"/>
      <family val="2"/>
      <scheme val="minor"/>
    </font>
    <font>
      <sz val="10"/>
      <name val="Arial"/>
      <family val="2"/>
    </font>
    <font>
      <sz val="11"/>
      <color rgb="FF9C6500"/>
      <name val="Arial"/>
      <family val="2"/>
      <scheme val="minor"/>
    </font>
    <font>
      <sz val="12"/>
      <name val="Arial"/>
      <family val="2"/>
    </font>
    <font>
      <sz val="8"/>
      <color theme="1"/>
      <name val="Arial"/>
      <family val="2"/>
    </font>
    <font>
      <sz val="8"/>
      <color rgb="FF004B8C"/>
      <name val="Arial"/>
      <family val="2"/>
    </font>
    <font>
      <sz val="7"/>
      <name val="Arial"/>
      <family val="2"/>
    </font>
    <font>
      <sz val="9"/>
      <color indexed="81"/>
      <name val="Tahoma"/>
      <family val="2"/>
    </font>
    <font>
      <sz val="7"/>
      <color indexed="81"/>
      <name val="Tahoma"/>
      <family val="2"/>
    </font>
    <font>
      <b/>
      <u/>
      <sz val="7"/>
      <color indexed="81"/>
      <name val="Tahoma"/>
      <family val="2"/>
    </font>
    <font>
      <b/>
      <sz val="7"/>
      <color indexed="81"/>
      <name val="Tahoma"/>
      <family val="2"/>
    </font>
    <font>
      <sz val="8"/>
      <color rgb="FF4D4D4D"/>
      <name val="Arial"/>
      <family val="2"/>
    </font>
    <font>
      <b/>
      <sz val="11.5"/>
      <color rgb="FF4D4D4D"/>
      <name val="Arial"/>
      <family val="2"/>
    </font>
    <font>
      <sz val="8"/>
      <color rgb="FF333333"/>
      <name val="Arial"/>
      <family val="2"/>
    </font>
    <font>
      <sz val="8"/>
      <color theme="0"/>
      <name val="Arial"/>
      <family val="2"/>
    </font>
    <font>
      <sz val="9"/>
      <color theme="0"/>
      <name val="Arial"/>
      <family val="2"/>
    </font>
    <font>
      <sz val="9"/>
      <color rgb="FFFFFFFF"/>
      <name val="Arial"/>
      <family val="2"/>
    </font>
    <font>
      <b/>
      <sz val="9"/>
      <color rgb="FF4D4D4D"/>
      <name val="Arial"/>
      <family val="2"/>
    </font>
    <font>
      <i/>
      <sz val="8"/>
      <color rgb="FF4D4D4D"/>
      <name val="Arial"/>
      <family val="2"/>
    </font>
    <font>
      <sz val="12"/>
      <color theme="0"/>
      <name val="Arial"/>
      <family val="2"/>
    </font>
    <font>
      <sz val="6"/>
      <color rgb="FF000000"/>
      <name val="Arial"/>
      <family val="2"/>
    </font>
    <font>
      <i/>
      <sz val="7"/>
      <color rgb="FF4D4D4D"/>
      <name val="Arial"/>
      <family val="2"/>
    </font>
    <font>
      <sz val="9"/>
      <color rgb="FF4D4D4D"/>
      <name val="Arial"/>
      <family val="2"/>
    </font>
    <font>
      <b/>
      <sz val="8"/>
      <color rgb="FF4D4D4D"/>
      <name val="Arial"/>
      <family val="2"/>
    </font>
    <font>
      <b/>
      <sz val="8"/>
      <color rgb="FF333333"/>
      <name val="Arial"/>
      <family val="2"/>
    </font>
    <font>
      <sz val="6"/>
      <color rgb="FF4D4D4D"/>
      <name val="Arial"/>
      <family val="2"/>
    </font>
    <font>
      <b/>
      <sz val="9"/>
      <color rgb="FF333333"/>
      <name val="Arial"/>
      <family val="2"/>
    </font>
    <font>
      <sz val="11.5"/>
      <color rgb="FF4D4D4D"/>
      <name val="Arial"/>
      <family val="2"/>
    </font>
    <font>
      <b/>
      <sz val="8"/>
      <color theme="0"/>
      <name val="Arial"/>
      <family val="2"/>
    </font>
    <font>
      <b/>
      <sz val="10"/>
      <color rgb="FF333333"/>
      <name val="Arial"/>
      <family val="2"/>
    </font>
    <font>
      <b/>
      <sz val="6"/>
      <color rgb="FF333333"/>
      <name val="Arial"/>
      <family val="2"/>
    </font>
    <font>
      <sz val="11"/>
      <color rgb="FF006100"/>
      <name val="Arial"/>
      <family val="2"/>
      <scheme val="minor"/>
    </font>
    <font>
      <b/>
      <sz val="6"/>
      <color rgb="FF4D4D4D"/>
      <name val="Arial"/>
      <family val="2"/>
    </font>
    <font>
      <sz val="6"/>
      <name val="Arial"/>
      <family val="2"/>
    </font>
    <font>
      <b/>
      <sz val="6"/>
      <name val="Arial"/>
      <family val="2"/>
    </font>
    <font>
      <b/>
      <sz val="8"/>
      <color rgb="FF00953A"/>
      <name val="Arial"/>
      <family val="2"/>
    </font>
    <font>
      <b/>
      <sz val="10"/>
      <name val="Arial"/>
      <family val="2"/>
    </font>
    <font>
      <b/>
      <sz val="9"/>
      <color indexed="81"/>
      <name val="Tahoma"/>
      <charset val="1"/>
    </font>
    <font>
      <sz val="10"/>
      <name val="Times New Roman"/>
      <family val="1"/>
    </font>
    <font>
      <sz val="10"/>
      <color indexed="8"/>
      <name val="Times New Roman"/>
      <family val="1"/>
    </font>
    <font>
      <sz val="10"/>
      <name val="GillSans"/>
      <family val="2"/>
    </font>
    <font>
      <sz val="10"/>
      <name val="GillSans"/>
    </font>
    <font>
      <b/>
      <sz val="8"/>
      <name val="Times New Roman"/>
      <family val="1"/>
    </font>
    <font>
      <sz val="8"/>
      <color indexed="49"/>
      <name val="Times New Roman"/>
      <family val="1"/>
    </font>
    <font>
      <sz val="10"/>
      <color indexed="8"/>
      <name val="MS Sans Serif"/>
      <family val="2"/>
    </font>
    <font>
      <sz val="12"/>
      <name val="???"/>
      <family val="1"/>
    </font>
    <font>
      <u/>
      <sz val="8.4"/>
      <color indexed="12"/>
      <name val="Arial"/>
      <family val="2"/>
    </font>
    <font>
      <sz val="8"/>
      <name val="???"/>
      <family val="1"/>
    </font>
    <font>
      <sz val="12"/>
      <name val="Times New Roman"/>
      <family val="1"/>
    </font>
    <font>
      <sz val="9"/>
      <name val="Arial"/>
      <family val="2"/>
    </font>
    <font>
      <sz val="10"/>
      <name val="Helv"/>
      <family val="2"/>
    </font>
    <font>
      <sz val="10"/>
      <name val="Arial Narrow"/>
      <family val="2"/>
    </font>
    <font>
      <u/>
      <sz val="11"/>
      <color indexed="36"/>
      <name val="‚l‚r ‚oƒSƒVƒbƒN"/>
      <family val="3"/>
      <charset val="128"/>
    </font>
    <font>
      <u/>
      <sz val="11"/>
      <color indexed="36"/>
      <name val="lr oSVbN"/>
      <family val="3"/>
      <charset val="128"/>
    </font>
    <font>
      <u/>
      <sz val="11"/>
      <color indexed="12"/>
      <name val="lr oSVbN"/>
      <family val="3"/>
      <charset val="128"/>
    </font>
    <font>
      <sz val="10"/>
      <name val="MS Sans Serif"/>
      <family val="2"/>
    </font>
    <font>
      <sz val="11"/>
      <color indexed="8"/>
      <name val="Calibri"/>
      <family val="2"/>
    </font>
    <font>
      <sz val="9"/>
      <name val="Times New Roman"/>
      <family val="1"/>
    </font>
    <font>
      <sz val="11"/>
      <color indexed="9"/>
      <name val="Calibri"/>
      <family val="2"/>
    </font>
    <font>
      <sz val="12"/>
      <name val="Arial MT"/>
      <family val="2"/>
    </font>
    <font>
      <sz val="11"/>
      <name val="Arial"/>
      <family val="2"/>
    </font>
    <font>
      <sz val="10"/>
      <name val="Courier"/>
      <family val="3"/>
    </font>
    <font>
      <sz val="8"/>
      <color indexed="12"/>
      <name val="Arial"/>
      <family val="2"/>
    </font>
    <font>
      <i/>
      <sz val="8"/>
      <color indexed="16"/>
      <name val="Arial"/>
      <family val="2"/>
    </font>
    <font>
      <i/>
      <sz val="8"/>
      <color indexed="54"/>
      <name val="Arial"/>
      <family val="2"/>
    </font>
    <font>
      <i/>
      <sz val="9"/>
      <color indexed="16"/>
      <name val="Arial"/>
      <family val="2"/>
    </font>
    <font>
      <b/>
      <sz val="11"/>
      <name val="Arial"/>
      <family val="2"/>
    </font>
    <font>
      <b/>
      <sz val="9"/>
      <name val="Arial"/>
      <family val="2"/>
    </font>
    <font>
      <sz val="12"/>
      <name val="바탕체"/>
      <family val="1"/>
      <charset val="129"/>
    </font>
    <font>
      <sz val="10"/>
      <color indexed="12"/>
      <name val="Times New Roman"/>
      <family val="1"/>
    </font>
    <font>
      <sz val="12"/>
      <name val="1UAAA?"/>
      <family val="1"/>
    </font>
    <font>
      <sz val="12"/>
      <name val="¹UAAA¼"/>
      <family val="1"/>
      <charset val="129"/>
    </font>
    <font>
      <sz val="12"/>
      <name val="±¼¸²A¼"/>
      <family val="3"/>
      <charset val="129"/>
    </font>
    <font>
      <sz val="12"/>
      <name val="∂?좲2A?"/>
      <family val="3"/>
      <charset val="129"/>
    </font>
    <font>
      <sz val="8"/>
      <name val="Times"/>
      <family val="1"/>
    </font>
    <font>
      <sz val="8"/>
      <name val="Times"/>
    </font>
    <font>
      <b/>
      <sz val="10"/>
      <name val="Helvetica"/>
      <family val="2"/>
    </font>
    <font>
      <i/>
      <sz val="8"/>
      <name val="Arial"/>
      <family val="2"/>
    </font>
    <font>
      <sz val="8"/>
      <color indexed="12"/>
      <name val="Helv"/>
    </font>
    <font>
      <sz val="10"/>
      <name val="Geneva"/>
    </font>
    <font>
      <sz val="11"/>
      <name val="μ¸¿o"/>
      <family val="3"/>
      <charset val="129"/>
    </font>
    <font>
      <b/>
      <sz val="11"/>
      <color indexed="63"/>
      <name val="Calibri"/>
      <family val="2"/>
    </font>
    <font>
      <sz val="10"/>
      <color indexed="9"/>
      <name val="Arial"/>
      <family val="2"/>
    </font>
    <font>
      <b/>
      <sz val="11"/>
      <color indexed="13"/>
      <name val="Calibri"/>
      <family val="2"/>
    </font>
    <font>
      <sz val="10"/>
      <name val="Tms Rmn"/>
      <family val="1"/>
    </font>
    <font>
      <sz val="8"/>
      <name val="Tms Rmn"/>
      <family val="1"/>
    </font>
    <font>
      <sz val="10"/>
      <color indexed="12"/>
      <name val="Arial"/>
      <family val="2"/>
    </font>
    <font>
      <sz val="8"/>
      <color indexed="12"/>
      <name val="MS Sans Serif"/>
      <family val="2"/>
    </font>
    <font>
      <b/>
      <sz val="10"/>
      <color indexed="9"/>
      <name val="Arial"/>
      <family val="2"/>
    </font>
    <font>
      <sz val="8"/>
      <color indexed="12"/>
      <name val="Tms Rmn"/>
      <family val="1"/>
    </font>
    <font>
      <b/>
      <i/>
      <sz val="8"/>
      <name val="Frutiger 55"/>
    </font>
    <font>
      <b/>
      <sz val="8"/>
      <name val="Frutiger 55"/>
      <family val="2"/>
    </font>
    <font>
      <b/>
      <sz val="12"/>
      <name val="Times New Roman"/>
      <family val="1"/>
    </font>
    <font>
      <u val="singleAccounting"/>
      <sz val="10"/>
      <name val="Arial"/>
      <family val="2"/>
    </font>
    <font>
      <b/>
      <sz val="10"/>
      <color indexed="8"/>
      <name val="Times New Roman"/>
      <family val="1"/>
    </font>
    <font>
      <sz val="8"/>
      <name val="¹UAAA¼"/>
      <family val="1"/>
      <charset val="129"/>
    </font>
    <font>
      <sz val="10"/>
      <name val="±¼¸²Ã¼"/>
      <family val="3"/>
      <charset val="129"/>
    </font>
    <font>
      <sz val="12"/>
      <name val="±¼¸²Ã¼"/>
      <family val="3"/>
      <charset val="129"/>
    </font>
    <font>
      <sz val="10"/>
      <color indexed="8"/>
      <name val="Arial"/>
      <family val="2"/>
    </font>
    <font>
      <sz val="10"/>
      <name val="Courier New"/>
      <family val="3"/>
    </font>
    <font>
      <b/>
      <sz val="8"/>
      <name val="GillSans"/>
      <family val="2"/>
    </font>
    <font>
      <b/>
      <sz val="7"/>
      <name val="GillSans"/>
      <family val="2"/>
    </font>
    <font>
      <b/>
      <sz val="7"/>
      <name val="GillSans"/>
    </font>
    <font>
      <sz val="11"/>
      <color indexed="12"/>
      <name val="Arial"/>
      <family val="2"/>
    </font>
    <font>
      <b/>
      <u val="singleAccounting"/>
      <sz val="8"/>
      <color indexed="8"/>
      <name val="Arial"/>
      <family val="2"/>
    </font>
    <font>
      <b/>
      <sz val="10"/>
      <name val="Arial Narrow"/>
      <family val="2"/>
    </font>
    <font>
      <sz val="11"/>
      <name val="Tms Rmn"/>
      <family val="1"/>
    </font>
    <font>
      <sz val="8"/>
      <name val="Helvetica"/>
      <family val="2"/>
    </font>
    <font>
      <sz val="10"/>
      <color indexed="39"/>
      <name val="Century Schoolbook"/>
      <family val="1"/>
    </font>
    <font>
      <sz val="10"/>
      <name val="Geneva"/>
      <family val="2"/>
    </font>
    <font>
      <sz val="6"/>
      <color indexed="12"/>
      <name val="Times New Roman"/>
      <family val="1"/>
    </font>
    <font>
      <sz val="8"/>
      <name val="Palatino"/>
      <family val="1"/>
    </font>
    <font>
      <sz val="7"/>
      <name val="Univers (E1)"/>
    </font>
    <font>
      <sz val="11"/>
      <name val="Times New Roman"/>
      <family val="1"/>
    </font>
    <font>
      <sz val="10"/>
      <color indexed="24"/>
      <name val="MS Sans Serif"/>
      <family val="2"/>
    </font>
    <font>
      <i/>
      <sz val="9"/>
      <name val="Arial"/>
      <family val="2"/>
    </font>
    <font>
      <sz val="24"/>
      <name val="Arial"/>
      <family val="2"/>
    </font>
    <font>
      <sz val="9"/>
      <name val="Univers (E1)"/>
    </font>
    <font>
      <sz val="12"/>
      <name val="Palatino"/>
      <family val="1"/>
    </font>
    <font>
      <sz val="12"/>
      <name val="Palatino"/>
    </font>
    <font>
      <sz val="8"/>
      <name val="1UAAA?"/>
      <family val="1"/>
    </font>
    <font>
      <sz val="10"/>
      <name val="Book Antiqua"/>
      <family val="1"/>
    </font>
    <font>
      <sz val="10"/>
      <color indexed="24"/>
      <name val="Arial"/>
      <family val="2"/>
    </font>
    <font>
      <sz val="12"/>
      <name val="Helv"/>
    </font>
    <font>
      <sz val="1"/>
      <color indexed="8"/>
      <name val="Courier"/>
      <family val="3"/>
    </font>
    <font>
      <sz val="9"/>
      <color indexed="18"/>
      <name val="Arial"/>
      <family val="2"/>
    </font>
    <font>
      <u val="doubleAccounting"/>
      <sz val="10"/>
      <name val="Arial"/>
      <family val="2"/>
    </font>
    <font>
      <sz val="9"/>
      <color indexed="8"/>
      <name val="Arial"/>
      <family val="2"/>
    </font>
    <font>
      <sz val="11"/>
      <color indexed="62"/>
      <name val="Calibri"/>
      <family val="2"/>
    </font>
    <font>
      <b/>
      <sz val="11"/>
      <color indexed="8"/>
      <name val="Calibri"/>
      <family val="2"/>
    </font>
    <font>
      <i/>
      <sz val="11"/>
      <color indexed="23"/>
      <name val="Calibri"/>
      <family val="2"/>
    </font>
    <font>
      <b/>
      <u/>
      <sz val="12"/>
      <name val="Arial Narrow"/>
      <family val="2"/>
    </font>
    <font>
      <sz val="8"/>
      <name val="Helv"/>
    </font>
    <font>
      <b/>
      <sz val="7"/>
      <color indexed="12"/>
      <name val="Arial"/>
      <family val="2"/>
    </font>
    <font>
      <u/>
      <sz val="11"/>
      <color indexed="12"/>
      <name val="‚l‚r ‚oƒSƒVƒbƒN"/>
      <family val="3"/>
      <charset val="128"/>
    </font>
    <font>
      <sz val="7"/>
      <name val="Palatino"/>
      <family val="1"/>
    </font>
    <font>
      <i/>
      <sz val="8"/>
      <color indexed="17"/>
      <name val="Times New Roman"/>
      <family val="1"/>
    </font>
    <font>
      <sz val="8"/>
      <color indexed="21"/>
      <name val="Arial"/>
      <family val="2"/>
    </font>
    <font>
      <sz val="11"/>
      <color indexed="17"/>
      <name val="Calibri"/>
      <family val="2"/>
    </font>
    <font>
      <b/>
      <u/>
      <sz val="10"/>
      <name val="Arial"/>
      <family val="2"/>
    </font>
    <font>
      <sz val="6"/>
      <color indexed="16"/>
      <name val="Palatino"/>
      <family val="1"/>
    </font>
    <font>
      <b/>
      <sz val="12"/>
      <name val="Arial"/>
      <family val="2"/>
    </font>
    <font>
      <b/>
      <sz val="11"/>
      <name val="Times New Roman"/>
      <family val="1"/>
    </font>
    <font>
      <b/>
      <sz val="10"/>
      <color indexed="8"/>
      <name val="MS Sans Serif"/>
      <family val="2"/>
    </font>
    <font>
      <sz val="9"/>
      <name val="System"/>
      <family val="2"/>
    </font>
    <font>
      <sz val="8"/>
      <color indexed="10"/>
      <name val="Times New Roman"/>
      <family val="1"/>
    </font>
    <font>
      <i/>
      <sz val="8"/>
      <color indexed="12"/>
      <name val="Helvetica"/>
      <family val="2"/>
    </font>
    <font>
      <sz val="8"/>
      <color indexed="39"/>
      <name val="Arial"/>
      <family val="2"/>
    </font>
    <font>
      <sz val="10"/>
      <color indexed="12"/>
      <name val="MS Sans Serif"/>
      <family val="2"/>
    </font>
    <font>
      <sz val="10"/>
      <color indexed="12"/>
      <name val="Frutiger 45 Light"/>
      <family val="2"/>
    </font>
    <font>
      <b/>
      <sz val="8"/>
      <color indexed="8"/>
      <name val="Times New Roman"/>
      <family val="1"/>
    </font>
    <font>
      <b/>
      <sz val="8"/>
      <color indexed="12"/>
      <name val="Times New Roman"/>
      <family val="1"/>
    </font>
    <font>
      <sz val="1"/>
      <color indexed="9"/>
      <name val="Symbol"/>
      <family val="1"/>
      <charset val="2"/>
    </font>
    <font>
      <sz val="10"/>
      <name val="Palatino"/>
      <family val="1"/>
    </font>
    <font>
      <sz val="10"/>
      <name val="Palatino"/>
    </font>
    <font>
      <sz val="8"/>
      <color indexed="10"/>
      <name val="Helv"/>
    </font>
    <font>
      <sz val="10"/>
      <name val="GillSans Light"/>
      <family val="2"/>
    </font>
    <font>
      <sz val="8"/>
      <color indexed="16"/>
      <name val="Helvetica"/>
      <family val="2"/>
    </font>
    <font>
      <sz val="10"/>
      <color indexed="16"/>
      <name val="MS Sans Serif"/>
      <family val="2"/>
    </font>
    <font>
      <sz val="8"/>
      <color indexed="8"/>
      <name val="Helv"/>
    </font>
    <font>
      <sz val="8"/>
      <name val="Frutiger 45"/>
      <family val="2"/>
    </font>
    <font>
      <sz val="8"/>
      <color indexed="18"/>
      <name val="Times New Roman"/>
      <family val="1"/>
    </font>
    <font>
      <sz val="10"/>
      <color indexed="20"/>
      <name val="Times New Roman"/>
      <family val="1"/>
    </font>
    <font>
      <sz val="9"/>
      <color indexed="12"/>
      <name val="Times New Roman"/>
      <family val="1"/>
    </font>
    <font>
      <sz val="11"/>
      <color indexed="60"/>
      <name val="Calibri"/>
      <family val="2"/>
    </font>
    <font>
      <b/>
      <u val="singleAccounting"/>
      <sz val="8"/>
      <color indexed="8"/>
      <name val="Verdana"/>
      <family val="2"/>
    </font>
    <font>
      <b/>
      <sz val="12"/>
      <color indexed="8"/>
      <name val="Verdana"/>
      <family val="2"/>
    </font>
    <font>
      <sz val="7"/>
      <name val="Small Fonts"/>
      <family val="2"/>
    </font>
    <font>
      <b/>
      <i/>
      <sz val="16"/>
      <name val="Helv"/>
    </font>
    <font>
      <sz val="10"/>
      <name val="Frutiger 45 Light"/>
      <family val="2"/>
    </font>
    <font>
      <sz val="7"/>
      <color indexed="12"/>
      <name val="Arial"/>
      <family val="2"/>
    </font>
    <font>
      <i/>
      <sz val="10"/>
      <name val="Helv"/>
    </font>
    <font>
      <sz val="8.5"/>
      <name val="Arial Narrow"/>
      <family val="2"/>
    </font>
    <font>
      <b/>
      <sz val="13.5"/>
      <name val="MS Sans Serif"/>
      <family val="2"/>
    </font>
    <font>
      <sz val="10"/>
      <color indexed="8"/>
      <name val="Helvetica-Narrow"/>
      <family val="2"/>
    </font>
    <font>
      <b/>
      <sz val="26"/>
      <name val="Times New Roman"/>
      <family val="1"/>
    </font>
    <font>
      <b/>
      <sz val="18"/>
      <name val="Times New Roman"/>
      <family val="1"/>
    </font>
    <font>
      <sz val="10"/>
      <color indexed="16"/>
      <name val="Helvetica-Black"/>
    </font>
    <font>
      <b/>
      <sz val="10"/>
      <name val="Times New Roman"/>
      <family val="1"/>
    </font>
    <font>
      <sz val="22"/>
      <name val="UBSHeadline"/>
      <family val="1"/>
    </font>
    <font>
      <i/>
      <sz val="7"/>
      <name val="Times New Roman"/>
      <family val="1"/>
    </font>
    <font>
      <b/>
      <sz val="12"/>
      <name val="Palatino"/>
      <family val="1"/>
    </font>
    <font>
      <b/>
      <sz val="12"/>
      <name val="Palatino"/>
    </font>
    <font>
      <b/>
      <sz val="8"/>
      <color indexed="18"/>
      <name val="Times New Roman"/>
      <family val="1"/>
    </font>
    <font>
      <b/>
      <sz val="14"/>
      <name val="Times New Roman"/>
      <family val="1"/>
    </font>
    <font>
      <b/>
      <sz val="10"/>
      <name val="MS Sans Serif"/>
      <family val="2"/>
    </font>
    <font>
      <u/>
      <sz val="10"/>
      <name val="GillSans"/>
      <family val="2"/>
    </font>
    <font>
      <sz val="10"/>
      <color indexed="10"/>
      <name val="MS Sans Serif"/>
      <family val="2"/>
    </font>
    <font>
      <sz val="10"/>
      <name val="GillSans Light"/>
    </font>
    <font>
      <sz val="8"/>
      <name val="COUR"/>
    </font>
    <font>
      <b/>
      <sz val="8.5"/>
      <name val="Times New Roman"/>
      <family val="1"/>
    </font>
    <font>
      <u/>
      <sz val="9.5"/>
      <name val="Times New Roman"/>
      <family val="1"/>
    </font>
    <font>
      <sz val="9.5"/>
      <color indexed="23"/>
      <name val="Helvetica-Black"/>
      <family val="2"/>
    </font>
    <font>
      <sz val="11"/>
      <color indexed="20"/>
      <name val="Calibri"/>
      <family val="2"/>
    </font>
    <font>
      <b/>
      <sz val="10"/>
      <color indexed="18"/>
      <name val="MS Sans Serif"/>
      <family val="2"/>
    </font>
    <font>
      <b/>
      <sz val="8"/>
      <color indexed="9"/>
      <name val="Verdana"/>
      <family val="2"/>
    </font>
    <font>
      <sz val="10"/>
      <color indexed="17"/>
      <name val="MS Sans Serif"/>
      <family val="2"/>
    </font>
    <font>
      <sz val="10"/>
      <color indexed="18"/>
      <name val="MS Sans Serif"/>
      <family val="2"/>
    </font>
    <font>
      <b/>
      <sz val="10"/>
      <color indexed="12"/>
      <name val="MS Sans Serif"/>
      <family val="2"/>
    </font>
    <font>
      <sz val="9"/>
      <name val="Geneva"/>
    </font>
    <font>
      <i/>
      <sz val="10"/>
      <color indexed="8"/>
      <name val="MS Sans Serif"/>
      <family val="2"/>
    </font>
    <font>
      <i/>
      <sz val="10"/>
      <color indexed="17"/>
      <name val="MS Sans Serif"/>
      <family val="2"/>
    </font>
    <font>
      <i/>
      <sz val="10"/>
      <color indexed="18"/>
      <name val="MS Sans Serif"/>
      <family val="2"/>
    </font>
    <font>
      <i/>
      <sz val="10"/>
      <color indexed="16"/>
      <name val="MS Sans Serif"/>
      <family val="2"/>
    </font>
    <font>
      <i/>
      <sz val="8"/>
      <name val="Times New Roman"/>
      <family val="1"/>
    </font>
    <font>
      <sz val="8"/>
      <color indexed="8"/>
      <name val="Arial"/>
      <family val="2"/>
    </font>
    <font>
      <b/>
      <sz val="18"/>
      <color indexed="62"/>
      <name val="Cambria"/>
      <family val="2"/>
    </font>
    <font>
      <b/>
      <sz val="15"/>
      <color indexed="62"/>
      <name val="Calibri"/>
      <family val="2"/>
    </font>
    <font>
      <b/>
      <sz val="13"/>
      <color indexed="62"/>
      <name val="Calibri"/>
      <family val="2"/>
    </font>
    <font>
      <b/>
      <sz val="11"/>
      <color indexed="62"/>
      <name val="Calibri"/>
      <family val="2"/>
    </font>
    <font>
      <sz val="11"/>
      <color indexed="13"/>
      <name val="Calibri"/>
      <family val="2"/>
    </font>
    <font>
      <b/>
      <sz val="11"/>
      <color indexed="9"/>
      <name val="Calibri"/>
      <family val="2"/>
    </font>
    <font>
      <sz val="11"/>
      <color rgb="FF9C0006"/>
      <name val="Arial"/>
      <family val="2"/>
      <scheme val="minor"/>
    </font>
    <font>
      <sz val="11"/>
      <color rgb="FFFA7D00"/>
      <name val="Arial"/>
      <family val="2"/>
      <scheme val="minor"/>
    </font>
    <font>
      <b/>
      <sz val="11"/>
      <color theme="0"/>
      <name val="Arial"/>
      <family val="2"/>
      <scheme val="minor"/>
    </font>
    <font>
      <sz val="11"/>
      <color rgb="FFFF0000"/>
      <name val="Arial"/>
      <family val="2"/>
      <scheme val="minor"/>
    </font>
    <font>
      <sz val="11"/>
      <color theme="0"/>
      <name val="Arial"/>
      <family val="2"/>
      <scheme val="minor"/>
    </font>
    <font>
      <b/>
      <sz val="16"/>
      <color theme="1"/>
      <name val="Arial"/>
      <family val="2"/>
      <scheme val="minor"/>
    </font>
    <font>
      <b/>
      <sz val="11"/>
      <color rgb="FF006100"/>
      <name val="Arial"/>
      <family val="2"/>
      <scheme val="minor"/>
    </font>
    <font>
      <sz val="11"/>
      <color rgb="FFF636F6"/>
      <name val="Arial"/>
      <family val="2"/>
      <scheme val="minor"/>
    </font>
    <font>
      <b/>
      <sz val="10"/>
      <name val="Arial"/>
      <scheme val="minor"/>
    </font>
    <font>
      <sz val="11"/>
      <color theme="1" tint="0.499984740745262"/>
      <name val="Arial"/>
      <family val="2"/>
      <scheme val="minor"/>
    </font>
    <font>
      <sz val="11"/>
      <color theme="5"/>
      <name val="Arial"/>
      <family val="2"/>
      <scheme val="minor"/>
    </font>
    <font>
      <b/>
      <sz val="10"/>
      <color theme="0"/>
      <name val="Arial"/>
      <scheme val="minor"/>
    </font>
    <font>
      <sz val="9"/>
      <color theme="1"/>
      <name val="Arial"/>
      <family val="2"/>
      <scheme val="minor"/>
    </font>
    <font>
      <b/>
      <u/>
      <sz val="9"/>
      <color theme="1"/>
      <name val="Arial"/>
      <family val="2"/>
      <scheme val="minor"/>
    </font>
    <font>
      <sz val="9"/>
      <color rgb="FF0070C0"/>
      <name val="Arial"/>
      <family val="2"/>
      <scheme val="minor"/>
    </font>
    <font>
      <b/>
      <sz val="9"/>
      <color theme="1"/>
      <name val="Arial"/>
      <family val="2"/>
      <scheme val="minor"/>
    </font>
    <font>
      <b/>
      <i/>
      <sz val="9"/>
      <color rgb="FF0070C0"/>
      <name val="Arial"/>
      <family val="2"/>
      <scheme val="minor"/>
    </font>
    <font>
      <b/>
      <sz val="9"/>
      <color rgb="FF0070C0"/>
      <name val="Arial"/>
      <family val="2"/>
      <scheme val="minor"/>
    </font>
    <font>
      <sz val="9"/>
      <color rgb="FFFF00FF"/>
      <name val="Arial"/>
      <family val="2"/>
      <scheme val="minor"/>
    </font>
    <font>
      <sz val="9"/>
      <name val="Arial"/>
      <family val="2"/>
      <scheme val="minor"/>
    </font>
    <font>
      <sz val="9"/>
      <color rgb="FFFF0000"/>
      <name val="Arial"/>
      <family val="2"/>
      <scheme val="minor"/>
    </font>
    <font>
      <sz val="8"/>
      <color theme="1"/>
      <name val="Arial"/>
      <family val="2"/>
      <scheme val="minor"/>
    </font>
    <font>
      <sz val="9"/>
      <color rgb="FFF636F6"/>
      <name val="Arial"/>
      <family val="2"/>
      <scheme val="minor"/>
    </font>
    <font>
      <b/>
      <sz val="9"/>
      <color indexed="81"/>
      <name val="Tahoma"/>
      <family val="2"/>
    </font>
    <font>
      <sz val="9"/>
      <color indexed="81"/>
      <name val="Tahoma"/>
      <charset val="1"/>
    </font>
    <font>
      <sz val="11"/>
      <name val="Arial"/>
      <family val="2"/>
      <scheme val="minor"/>
    </font>
    <font>
      <sz val="10"/>
      <color rgb="FFCC00FF"/>
      <name val="Arial"/>
      <family val="2"/>
      <scheme val="minor"/>
    </font>
    <font>
      <sz val="8"/>
      <color rgb="FFFF0000"/>
      <name val="Times New Roman"/>
      <family val="1"/>
    </font>
    <font>
      <sz val="8"/>
      <color rgb="FFCC00FF"/>
      <name val="Times New Roman"/>
      <family val="1"/>
    </font>
    <font>
      <sz val="8"/>
      <name val="Times New Roman"/>
    </font>
    <font>
      <sz val="8"/>
      <color theme="9" tint="-0.499984740745262"/>
      <name val="Arial"/>
      <family val="2"/>
    </font>
  </fonts>
  <fills count="98">
    <fill>
      <patternFill patternType="none"/>
    </fill>
    <fill>
      <patternFill patternType="gray125"/>
    </fill>
    <fill>
      <patternFill patternType="solid">
        <fgColor theme="4"/>
      </patternFill>
    </fill>
    <fill>
      <patternFill patternType="solid">
        <fgColor theme="4" tint="0.79998168889431442"/>
        <bgColor indexed="65"/>
      </patternFill>
    </fill>
    <fill>
      <patternFill patternType="solid">
        <fgColor theme="0"/>
        <bgColor indexed="64"/>
      </patternFill>
    </fill>
    <fill>
      <patternFill patternType="solid">
        <fgColor rgb="FFFFEB9C"/>
      </patternFill>
    </fill>
    <fill>
      <patternFill patternType="solid">
        <fgColor rgb="FFFCE76A"/>
        <bgColor indexed="64"/>
      </patternFill>
    </fill>
    <fill>
      <patternFill patternType="solid">
        <fgColor rgb="FF92D050"/>
        <bgColor indexed="64"/>
      </patternFill>
    </fill>
    <fill>
      <patternFill patternType="solid">
        <fgColor rgb="FF00B050"/>
        <bgColor indexed="64"/>
      </patternFill>
    </fill>
    <fill>
      <patternFill patternType="solid">
        <fgColor rgb="FFFF5050"/>
        <bgColor indexed="64"/>
      </patternFill>
    </fill>
    <fill>
      <patternFill patternType="solid">
        <fgColor theme="9"/>
        <bgColor indexed="64"/>
      </patternFill>
    </fill>
    <fill>
      <patternFill patternType="solid">
        <fgColor rgb="FF63BE7B"/>
        <bgColor indexed="64"/>
      </patternFill>
    </fill>
    <fill>
      <patternFill patternType="solid">
        <fgColor rgb="FFFFFFFF"/>
        <bgColor indexed="64"/>
      </patternFill>
    </fill>
    <fill>
      <patternFill patternType="solid">
        <fgColor rgb="FFC6EFCE"/>
      </patternFill>
    </fill>
    <fill>
      <patternFill patternType="solid">
        <fgColor rgb="FFC3C6C8"/>
        <bgColor indexed="64"/>
      </patternFill>
    </fill>
    <fill>
      <patternFill patternType="solid">
        <fgColor rgb="FF002856"/>
        <bgColor indexed="64"/>
      </patternFill>
    </fill>
    <fill>
      <patternFill patternType="solid">
        <fgColor rgb="FFCDDEF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6" tint="0.79998168889431442"/>
        <bgColor indexed="64"/>
      </patternFill>
    </fill>
    <fill>
      <patternFill patternType="solid">
        <fgColor theme="4" tint="0.79998168889431442"/>
        <bgColor indexed="64"/>
      </patternFill>
    </fill>
    <fill>
      <patternFill patternType="solid">
        <fgColor theme="8" tint="0.39997558519241921"/>
        <bgColor indexed="64"/>
      </patternFill>
    </fill>
    <fill>
      <patternFill patternType="solid">
        <fgColor theme="3" tint="0.39997558519241921"/>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1" tint="0.39997558519241921"/>
        <bgColor indexed="64"/>
      </patternFill>
    </fill>
    <fill>
      <patternFill patternType="solid">
        <fgColor theme="5" tint="0.79998168889431442"/>
        <bgColor indexed="64"/>
      </patternFill>
    </fill>
    <fill>
      <patternFill patternType="solid">
        <fgColor theme="8" tint="0.59999389629810485"/>
        <bgColor indexed="64"/>
      </patternFill>
    </fill>
    <fill>
      <patternFill patternType="solid">
        <fgColor theme="5" tint="0.59999389629810485"/>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theme="5" tint="0.39997558519241921"/>
        <bgColor indexed="64"/>
      </patternFill>
    </fill>
    <fill>
      <patternFill patternType="solid">
        <fgColor theme="5" tint="-0.249977111117893"/>
        <bgColor indexed="64"/>
      </patternFill>
    </fill>
    <fill>
      <patternFill patternType="solid">
        <fgColor indexed="19"/>
      </patternFill>
    </fill>
    <fill>
      <patternFill patternType="solid">
        <fgColor indexed="51"/>
      </patternFill>
    </fill>
    <fill>
      <patternFill patternType="solid">
        <fgColor indexed="52"/>
      </patternFill>
    </fill>
    <fill>
      <patternFill patternType="solid">
        <fgColor indexed="10"/>
      </patternFill>
    </fill>
    <fill>
      <patternFill patternType="solid">
        <fgColor indexed="26"/>
      </patternFill>
    </fill>
    <fill>
      <patternFill patternType="solid">
        <fgColor indexed="47"/>
      </patternFill>
    </fill>
    <fill>
      <patternFill patternType="solid">
        <fgColor indexed="43"/>
      </patternFill>
    </fill>
    <fill>
      <patternFill patternType="solid">
        <fgColor indexed="22"/>
      </patternFill>
    </fill>
    <fill>
      <patternFill patternType="solid">
        <fgColor indexed="49"/>
      </patternFill>
    </fill>
    <fill>
      <patternFill patternType="solid">
        <fgColor indexed="22"/>
        <bgColor indexed="64"/>
      </patternFill>
    </fill>
    <fill>
      <patternFill patternType="solid">
        <fgColor indexed="18"/>
        <bgColor indexed="64"/>
      </patternFill>
    </fill>
    <fill>
      <patternFill patternType="solid">
        <fgColor indexed="29"/>
        <bgColor indexed="64"/>
      </patternFill>
    </fill>
    <fill>
      <patternFill patternType="solid">
        <fgColor indexed="42"/>
        <bgColor indexed="64"/>
      </patternFill>
    </fill>
    <fill>
      <patternFill patternType="solid">
        <fgColor indexed="31"/>
        <bgColor indexed="64"/>
      </patternFill>
    </fill>
    <fill>
      <patternFill patternType="solid">
        <fgColor indexed="43"/>
        <bgColor indexed="64"/>
      </patternFill>
    </fill>
    <fill>
      <patternFill patternType="solid">
        <fgColor indexed="51"/>
        <bgColor indexed="64"/>
      </patternFill>
    </fill>
    <fill>
      <patternFill patternType="solid">
        <fgColor indexed="44"/>
        <bgColor indexed="64"/>
      </patternFill>
    </fill>
    <fill>
      <patternFill patternType="solid">
        <fgColor indexed="59"/>
      </patternFill>
    </fill>
    <fill>
      <patternFill patternType="solid">
        <fgColor indexed="54"/>
      </patternFill>
    </fill>
    <fill>
      <patternFill patternType="solid">
        <fgColor indexed="53"/>
      </patternFill>
    </fill>
    <fill>
      <patternFill patternType="solid">
        <fgColor indexed="60"/>
        <bgColor indexed="64"/>
      </patternFill>
    </fill>
    <fill>
      <patternFill patternType="lightGray">
        <fgColor indexed="12"/>
      </patternFill>
    </fill>
    <fill>
      <patternFill patternType="solid">
        <fgColor indexed="9"/>
        <bgColor indexed="64"/>
      </patternFill>
    </fill>
    <fill>
      <patternFill patternType="solid">
        <fgColor indexed="23"/>
        <bgColor indexed="23"/>
      </patternFill>
    </fill>
    <fill>
      <patternFill patternType="solid">
        <fgColor indexed="15"/>
        <bgColor indexed="64"/>
      </patternFill>
    </fill>
    <fill>
      <patternFill patternType="solid">
        <fgColor indexed="42"/>
      </patternFill>
    </fill>
    <fill>
      <patternFill patternType="gray0625"/>
    </fill>
    <fill>
      <patternFill patternType="solid">
        <fgColor indexed="26"/>
        <bgColor indexed="64"/>
      </patternFill>
    </fill>
    <fill>
      <patternFill patternType="lightGray">
        <fgColor indexed="13"/>
      </patternFill>
    </fill>
    <fill>
      <patternFill patternType="gray0625">
        <fgColor indexed="22"/>
      </patternFill>
    </fill>
    <fill>
      <patternFill patternType="solid">
        <fgColor indexed="13"/>
        <bgColor indexed="64"/>
      </patternFill>
    </fill>
    <fill>
      <patternFill patternType="solid">
        <fgColor indexed="22"/>
        <bgColor indexed="22"/>
      </patternFill>
    </fill>
    <fill>
      <patternFill patternType="solid">
        <fgColor indexed="62"/>
        <bgColor indexed="64"/>
      </patternFill>
    </fill>
    <fill>
      <patternFill patternType="solid">
        <fgColor indexed="63"/>
        <bgColor indexed="64"/>
      </patternFill>
    </fill>
    <fill>
      <patternFill patternType="solid">
        <fgColor indexed="41"/>
        <bgColor indexed="64"/>
      </patternFill>
    </fill>
    <fill>
      <patternFill patternType="solid">
        <fgColor indexed="10"/>
        <bgColor indexed="64"/>
      </patternFill>
    </fill>
    <fill>
      <patternFill patternType="lightGray">
        <fgColor indexed="10"/>
      </patternFill>
    </fill>
    <fill>
      <patternFill patternType="mediumGray">
        <fgColor indexed="22"/>
      </patternFill>
    </fill>
    <fill>
      <patternFill patternType="solid">
        <fgColor indexed="9"/>
      </patternFill>
    </fill>
    <fill>
      <patternFill patternType="solid">
        <fgColor indexed="46"/>
      </patternFill>
    </fill>
    <fill>
      <patternFill patternType="solid">
        <fgColor indexed="56"/>
        <bgColor indexed="64"/>
      </patternFill>
    </fill>
    <fill>
      <patternFill patternType="solid">
        <fgColor indexed="38"/>
        <bgColor indexed="64"/>
      </patternFill>
    </fill>
    <fill>
      <patternFill patternType="solid">
        <fgColor indexed="36"/>
        <bgColor indexed="64"/>
      </patternFill>
    </fill>
    <fill>
      <patternFill patternType="solid">
        <fgColor indexed="30"/>
        <bgColor indexed="64"/>
      </patternFill>
    </fill>
    <fill>
      <patternFill patternType="solid">
        <fgColor indexed="61"/>
        <bgColor indexed="64"/>
      </patternFill>
    </fill>
    <fill>
      <patternFill patternType="solid">
        <fgColor indexed="55"/>
      </patternFill>
    </fill>
    <fill>
      <patternFill patternType="solid">
        <fgColor rgb="FFFFC7CE"/>
      </patternFill>
    </fill>
    <fill>
      <patternFill patternType="solid">
        <fgColor rgb="FFA5A5A5"/>
      </patternFill>
    </fill>
    <fill>
      <patternFill patternType="solid">
        <fgColor theme="4" tint="0.59999389629810485"/>
        <bgColor indexed="65"/>
      </patternFill>
    </fill>
    <fill>
      <patternFill patternType="solid">
        <fgColor theme="5"/>
      </patternFill>
    </fill>
    <fill>
      <patternFill patternType="solid">
        <fgColor theme="5" tint="0.39997558519241921"/>
        <bgColor indexed="65"/>
      </patternFill>
    </fill>
    <fill>
      <patternFill patternType="solid">
        <fgColor theme="6" tint="0.79998168889431442"/>
        <bgColor indexed="65"/>
      </patternFill>
    </fill>
    <fill>
      <patternFill patternType="solid">
        <fgColor theme="6" tint="0.39997558519241921"/>
        <bgColor indexed="65"/>
      </patternFill>
    </fill>
    <fill>
      <patternFill patternType="solid">
        <fgColor rgb="FFFFFF00"/>
        <bgColor indexed="64"/>
      </patternFill>
    </fill>
    <fill>
      <patternFill patternType="solid">
        <fgColor rgb="FFFFC000"/>
        <bgColor indexed="64"/>
      </patternFill>
    </fill>
    <fill>
      <patternFill patternType="solid">
        <fgColor theme="6"/>
        <bgColor indexed="64"/>
      </patternFill>
    </fill>
    <fill>
      <patternFill patternType="solid">
        <fgColor theme="1" tint="0.249977111117893"/>
        <bgColor indexed="64"/>
      </patternFill>
    </fill>
    <fill>
      <patternFill patternType="solid">
        <fgColor theme="4" tint="-0.249977111117893"/>
        <bgColor indexed="64"/>
      </patternFill>
    </fill>
    <fill>
      <patternFill patternType="solid">
        <fgColor theme="2" tint="0.59999389629810485"/>
        <bgColor indexed="64"/>
      </patternFill>
    </fill>
    <fill>
      <patternFill patternType="solid">
        <fgColor theme="1" tint="0.89999084444715716"/>
        <bgColor indexed="64"/>
      </patternFill>
    </fill>
    <fill>
      <patternFill patternType="solid">
        <fgColor rgb="FFC00000"/>
        <bgColor indexed="64"/>
      </patternFill>
    </fill>
    <fill>
      <patternFill patternType="solid">
        <fgColor rgb="FF768693"/>
        <bgColor indexed="64"/>
      </patternFill>
    </fill>
    <fill>
      <patternFill patternType="solid">
        <fgColor theme="8"/>
        <bgColor indexed="64"/>
      </patternFill>
    </fill>
    <fill>
      <patternFill patternType="solid">
        <fgColor theme="1"/>
        <bgColor indexed="64"/>
      </patternFill>
    </fill>
  </fills>
  <borders count="130">
    <border>
      <left/>
      <right/>
      <top/>
      <bottom/>
      <diagonal/>
    </border>
    <border>
      <left/>
      <right/>
      <top/>
      <bottom style="thin">
        <color indexed="64"/>
      </bottom>
      <diagonal/>
    </border>
    <border>
      <left style="thin">
        <color theme="0" tint="-0.499984740745262"/>
      </left>
      <right/>
      <top style="thin">
        <color theme="0" tint="-0.499984740745262"/>
      </top>
      <bottom/>
      <diagonal/>
    </border>
    <border>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right/>
      <top style="thin">
        <color theme="2" tint="-0.34998626667073579"/>
      </top>
      <bottom style="thin">
        <color theme="2" tint="-0.34998626667073579"/>
      </bottom>
      <diagonal/>
    </border>
    <border>
      <left style="thin">
        <color theme="0" tint="-0.499984740745262"/>
      </left>
      <right/>
      <top/>
      <bottom style="thin">
        <color theme="0" tint="-0.499984740745262"/>
      </bottom>
      <diagonal/>
    </border>
    <border>
      <left/>
      <right/>
      <top/>
      <bottom style="thin">
        <color theme="0" tint="-0.499984740745262"/>
      </bottom>
      <diagonal/>
    </border>
    <border>
      <left/>
      <right style="thin">
        <color theme="0" tint="-0.499984740745262"/>
      </right>
      <top/>
      <bottom style="thin">
        <color theme="0" tint="-0.499984740745262"/>
      </bottom>
      <diagonal/>
    </border>
    <border>
      <left/>
      <right/>
      <top style="thin">
        <color rgb="FF4D4D4D"/>
      </top>
      <bottom/>
      <diagonal/>
    </border>
    <border>
      <left style="medium">
        <color theme="1"/>
      </left>
      <right/>
      <top style="medium">
        <color theme="1"/>
      </top>
      <bottom style="medium">
        <color theme="1"/>
      </bottom>
      <diagonal/>
    </border>
    <border>
      <left/>
      <right/>
      <top style="medium">
        <color theme="1"/>
      </top>
      <bottom style="medium">
        <color theme="1"/>
      </bottom>
      <diagonal/>
    </border>
    <border>
      <left/>
      <right style="medium">
        <color theme="1"/>
      </right>
      <top style="medium">
        <color theme="1"/>
      </top>
      <bottom style="medium">
        <color theme="1"/>
      </bottom>
      <diagonal/>
    </border>
    <border>
      <left style="thin">
        <color rgb="FF969696"/>
      </left>
      <right/>
      <top style="thin">
        <color rgb="FF969696"/>
      </top>
      <bottom/>
      <diagonal/>
    </border>
    <border>
      <left/>
      <right/>
      <top style="thin">
        <color rgb="FF969696"/>
      </top>
      <bottom/>
      <diagonal/>
    </border>
    <border>
      <left/>
      <right style="thin">
        <color rgb="FF969696"/>
      </right>
      <top style="thin">
        <color rgb="FF969696"/>
      </top>
      <bottom/>
      <diagonal/>
    </border>
    <border>
      <left style="thin">
        <color rgb="FF969696"/>
      </left>
      <right/>
      <top/>
      <bottom style="thin">
        <color rgb="FF969696"/>
      </bottom>
      <diagonal/>
    </border>
    <border>
      <left/>
      <right/>
      <top/>
      <bottom style="thin">
        <color rgb="FF969696"/>
      </bottom>
      <diagonal/>
    </border>
    <border>
      <left/>
      <right style="thin">
        <color rgb="FF969696"/>
      </right>
      <top/>
      <bottom style="thin">
        <color rgb="FF969696"/>
      </bottom>
      <diagonal/>
    </border>
    <border>
      <left style="thin">
        <color theme="0" tint="-0.34998626667073579"/>
      </left>
      <right style="thin">
        <color rgb="FFFCE76A"/>
      </right>
      <top style="thin">
        <color theme="0" tint="-0.34998626667073579"/>
      </top>
      <bottom style="thin">
        <color theme="0" tint="-0.34998626667073579"/>
      </bottom>
      <diagonal/>
    </border>
    <border>
      <left style="thin">
        <color rgb="FFFCE76A"/>
      </left>
      <right style="thin">
        <color rgb="FFFCE76A"/>
      </right>
      <top style="thin">
        <color theme="0" tint="-0.34998626667073579"/>
      </top>
      <bottom style="thin">
        <color theme="0" tint="-0.34998626667073579"/>
      </bottom>
      <diagonal/>
    </border>
    <border>
      <left style="thin">
        <color rgb="FFFCE76A"/>
      </left>
      <right/>
      <top style="thin">
        <color theme="0" tint="-0.34998626667073579"/>
      </top>
      <bottom style="thin">
        <color theme="0" tint="-0.34998626667073579"/>
      </bottom>
      <diagonal/>
    </border>
    <border>
      <left/>
      <right/>
      <top style="thin">
        <color theme="0" tint="-0.34998626667073579"/>
      </top>
      <bottom style="thin">
        <color theme="0" tint="-0.34998626667073579"/>
      </bottom>
      <diagonal/>
    </border>
    <border>
      <left/>
      <right style="thin">
        <color theme="0" tint="-0.34998626667073579"/>
      </right>
      <top style="thin">
        <color theme="0" tint="-0.34998626667073579"/>
      </top>
      <bottom style="thin">
        <color theme="0" tint="-0.34998626667073579"/>
      </bottom>
      <diagonal/>
    </border>
    <border>
      <left style="thin">
        <color theme="0" tint="-0.34998626667073579"/>
      </left>
      <right/>
      <top style="thin">
        <color theme="0" tint="-0.34998626667073579"/>
      </top>
      <bottom style="thin">
        <color theme="0" tint="-0.34998626667073579"/>
      </bottom>
      <diagonal/>
    </border>
    <border>
      <left style="thin">
        <color theme="0" tint="-0.34998626667073579"/>
      </left>
      <right/>
      <top style="thin">
        <color theme="0" tint="-0.34998626667073579"/>
      </top>
      <bottom/>
      <diagonal/>
    </border>
    <border>
      <left/>
      <right/>
      <top style="thin">
        <color theme="0" tint="-0.34998626667073579"/>
      </top>
      <bottom/>
      <diagonal/>
    </border>
    <border>
      <left/>
      <right style="thin">
        <color theme="0" tint="-0.34998626667073579"/>
      </right>
      <top style="thin">
        <color theme="0" tint="-0.34998626667073579"/>
      </top>
      <bottom/>
      <diagonal/>
    </border>
    <border>
      <left style="thin">
        <color theme="0" tint="-0.34998626667073579"/>
      </left>
      <right/>
      <top/>
      <bottom/>
      <diagonal/>
    </border>
    <border>
      <left/>
      <right style="thin">
        <color theme="0" tint="-0.34998626667073579"/>
      </right>
      <top/>
      <bottom/>
      <diagonal/>
    </border>
    <border>
      <left style="thin">
        <color theme="0" tint="-0.34998626667073579"/>
      </left>
      <right/>
      <top/>
      <bottom style="thin">
        <color theme="0" tint="-0.34998626667073579"/>
      </bottom>
      <diagonal/>
    </border>
    <border>
      <left/>
      <right/>
      <top/>
      <bottom style="thin">
        <color theme="0" tint="-0.34998626667073579"/>
      </bottom>
      <diagonal/>
    </border>
    <border>
      <left/>
      <right style="thin">
        <color theme="0" tint="-0.34998626667073579"/>
      </right>
      <top/>
      <bottom style="thin">
        <color theme="0" tint="-0.34998626667073579"/>
      </bottom>
      <diagonal/>
    </border>
    <border>
      <left/>
      <right/>
      <top/>
      <bottom style="thin">
        <color theme="0" tint="-0.24994659260841701"/>
      </bottom>
      <diagonal/>
    </border>
    <border>
      <left/>
      <right/>
      <top style="thin">
        <color theme="0" tint="-0.24994659260841701"/>
      </top>
      <bottom style="thin">
        <color theme="0" tint="-0.24994659260841701"/>
      </bottom>
      <diagonal/>
    </border>
    <border>
      <left/>
      <right/>
      <top style="thin">
        <color theme="0" tint="-0.24994659260841701"/>
      </top>
      <bottom/>
      <diagonal/>
    </border>
    <border>
      <left/>
      <right/>
      <top/>
      <bottom style="dashed">
        <color theme="0" tint="-0.24994659260841701"/>
      </bottom>
      <diagonal/>
    </border>
    <border>
      <left/>
      <right/>
      <top style="dashed">
        <color theme="0" tint="-0.24994659260841701"/>
      </top>
      <bottom style="dashed">
        <color theme="0" tint="-0.24994659260841701"/>
      </bottom>
      <diagonal/>
    </border>
    <border>
      <left/>
      <right/>
      <top style="thin">
        <color rgb="FFA6A6A6"/>
      </top>
      <bottom style="thin">
        <color rgb="FFA6A6A6"/>
      </bottom>
      <diagonal/>
    </border>
    <border>
      <left/>
      <right/>
      <top style="dashed">
        <color theme="0" tint="-0.24994659260841701"/>
      </top>
      <bottom/>
      <diagonal/>
    </border>
    <border>
      <left/>
      <right/>
      <top/>
      <bottom style="medium">
        <color theme="1"/>
      </bottom>
      <diagonal/>
    </border>
    <border>
      <left style="medium">
        <color rgb="FF002856"/>
      </left>
      <right style="medium">
        <color rgb="FF002856"/>
      </right>
      <top style="medium">
        <color rgb="FF002856"/>
      </top>
      <bottom style="medium">
        <color rgb="FF002856"/>
      </bottom>
      <diagonal/>
    </border>
    <border>
      <left style="medium">
        <color rgb="FF002856"/>
      </left>
      <right/>
      <top style="medium">
        <color rgb="FF002856"/>
      </top>
      <bottom style="medium">
        <color rgb="FF002856"/>
      </bottom>
      <diagonal/>
    </border>
    <border>
      <left/>
      <right/>
      <top style="medium">
        <color rgb="FF002856"/>
      </top>
      <bottom style="medium">
        <color rgb="FF002856"/>
      </bottom>
      <diagonal/>
    </border>
    <border>
      <left/>
      <right style="medium">
        <color rgb="FF002856"/>
      </right>
      <top style="medium">
        <color rgb="FF002856"/>
      </top>
      <bottom style="medium">
        <color rgb="FF002856"/>
      </bottom>
      <diagonal/>
    </border>
    <border>
      <left/>
      <right/>
      <top/>
      <bottom style="thin">
        <color rgb="FF58646D"/>
      </bottom>
      <diagonal/>
    </border>
    <border>
      <left/>
      <right/>
      <top/>
      <bottom style="thin">
        <color rgb="FF768693"/>
      </bottom>
      <diagonal/>
    </border>
    <border>
      <left/>
      <right/>
      <top style="thin">
        <color rgb="FF768693"/>
      </top>
      <bottom style="thin">
        <color rgb="FF768693"/>
      </bottom>
      <diagonal/>
    </border>
    <border>
      <left/>
      <right/>
      <top style="thin">
        <color theme="2" tint="-0.34998626667073579"/>
      </top>
      <bottom style="thin">
        <color rgb="FF768693"/>
      </bottom>
      <diagonal/>
    </border>
    <border>
      <left/>
      <right/>
      <top style="thin">
        <color rgb="FF58646D"/>
      </top>
      <bottom style="thin">
        <color rgb="FFA5AEB6"/>
      </bottom>
      <diagonal/>
    </border>
    <border>
      <left/>
      <right/>
      <top/>
      <bottom style="thin">
        <color rgb="FFA5AEB6"/>
      </bottom>
      <diagonal/>
    </border>
    <border>
      <left/>
      <right/>
      <top style="thin">
        <color rgb="FFA5AEB6"/>
      </top>
      <bottom style="thin">
        <color rgb="FFA5AEB6"/>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top style="medium">
        <color indexed="64"/>
      </top>
      <bottom/>
      <diagonal/>
    </border>
    <border>
      <left style="medium">
        <color indexed="64"/>
      </left>
      <right style="medium">
        <color indexed="64"/>
      </right>
      <top/>
      <bottom/>
      <diagonal/>
    </border>
    <border>
      <left/>
      <right style="medium">
        <color indexed="64"/>
      </right>
      <top/>
      <bottom/>
      <diagonal/>
    </border>
    <border>
      <left/>
      <right/>
      <top/>
      <bottom style="medium">
        <color indexed="64"/>
      </bottom>
      <diagonal/>
    </border>
    <border>
      <left/>
      <right/>
      <top/>
      <bottom style="thick">
        <color indexed="64"/>
      </bottom>
      <diagonal/>
    </border>
    <border>
      <left/>
      <right/>
      <top style="thin">
        <color auto="1"/>
      </top>
      <bottom/>
      <diagonal/>
    </border>
    <border>
      <left style="medium">
        <color indexed="64"/>
      </left>
      <right style="medium">
        <color indexed="64"/>
      </right>
      <top/>
      <bottom style="thick">
        <color indexed="37"/>
      </bottom>
      <diagonal/>
    </border>
    <border>
      <left style="double">
        <color indexed="64"/>
      </left>
      <right/>
      <top/>
      <bottom style="hair">
        <color indexed="64"/>
      </bottom>
      <diagonal/>
    </border>
    <border>
      <left/>
      <right style="thin">
        <color indexed="64"/>
      </right>
      <top/>
      <bottom/>
      <diagonal/>
    </border>
    <border>
      <left style="thin">
        <color auto="1"/>
      </left>
      <right/>
      <top/>
      <bottom style="thin">
        <color auto="1"/>
      </bottom>
      <diagonal/>
    </border>
    <border>
      <left style="thin">
        <color indexed="9"/>
      </left>
      <right style="thin">
        <color indexed="9"/>
      </right>
      <top style="thin">
        <color indexed="9"/>
      </top>
      <bottom style="thin">
        <color indexed="9"/>
      </bottom>
      <diagonal/>
    </border>
    <border>
      <left style="thin">
        <color auto="1"/>
      </left>
      <right style="thin">
        <color auto="1"/>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style="thin">
        <color indexed="22"/>
      </top>
      <bottom style="thin">
        <color indexed="64"/>
      </bottom>
      <diagonal/>
    </border>
    <border>
      <left/>
      <right style="medium">
        <color indexed="9"/>
      </right>
      <top/>
      <bottom style="medium">
        <color indexed="9"/>
      </bottom>
      <diagonal/>
    </border>
    <border>
      <left/>
      <right/>
      <top style="hair">
        <color auto="1"/>
      </top>
      <bottom/>
      <diagonal/>
    </border>
    <border>
      <left/>
      <right/>
      <top/>
      <bottom style="thin">
        <color indexed="44"/>
      </bottom>
      <diagonal/>
    </border>
    <border>
      <left style="thin">
        <color indexed="21"/>
      </left>
      <right style="thin">
        <color indexed="21"/>
      </right>
      <top style="thin">
        <color indexed="21"/>
      </top>
      <bottom style="thin">
        <color indexed="21"/>
      </bottom>
      <diagonal/>
    </border>
    <border>
      <left/>
      <right/>
      <top/>
      <bottom style="dotted">
        <color indexed="64"/>
      </bottom>
      <diagonal/>
    </border>
    <border>
      <left/>
      <right/>
      <top style="thin">
        <color indexed="64"/>
      </top>
      <bottom/>
      <diagonal/>
    </border>
    <border>
      <left/>
      <right style="thin">
        <color indexed="8"/>
      </right>
      <top/>
      <bottom style="thin">
        <color indexed="22"/>
      </bottom>
      <diagonal/>
    </border>
    <border>
      <left/>
      <right/>
      <top style="thin">
        <color indexed="49"/>
      </top>
      <bottom style="double">
        <color indexed="49"/>
      </bottom>
      <diagonal/>
    </border>
    <border>
      <left style="thin">
        <color indexed="9"/>
      </left>
      <right style="thin">
        <color indexed="9"/>
      </right>
      <top/>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right style="thin">
        <color indexed="8"/>
      </right>
      <top style="thin">
        <color indexed="8"/>
      </top>
      <bottom/>
      <diagonal/>
    </border>
    <border>
      <left/>
      <right/>
      <top/>
      <bottom style="thin">
        <color indexed="9"/>
      </bottom>
      <diagonal/>
    </border>
    <border>
      <left style="double">
        <color indexed="64"/>
      </left>
      <right style="double">
        <color indexed="64"/>
      </right>
      <top style="double">
        <color indexed="64"/>
      </top>
      <bottom style="double">
        <color indexed="64"/>
      </bottom>
      <diagonal/>
    </border>
    <border>
      <left style="thin">
        <color indexed="64"/>
      </left>
      <right style="thin">
        <color indexed="64"/>
      </right>
      <top style="thin">
        <color indexed="64"/>
      </top>
      <bottom style="thin">
        <color indexed="64"/>
      </bottom>
      <diagonal/>
    </border>
    <border>
      <left style="thin">
        <color indexed="8"/>
      </left>
      <right style="thin">
        <color indexed="8"/>
      </right>
      <top style="thin">
        <color indexed="8"/>
      </top>
      <bottom style="thin">
        <color indexed="8"/>
      </bottom>
      <diagonal/>
    </border>
    <border>
      <left/>
      <right/>
      <top/>
      <bottom style="hair">
        <color auto="1"/>
      </bottom>
      <diagonal/>
    </border>
    <border>
      <left/>
      <right style="thin">
        <color indexed="8"/>
      </right>
      <top style="thin">
        <color indexed="8"/>
      </top>
      <bottom style="thin">
        <color indexed="8"/>
      </bottom>
      <diagonal/>
    </border>
    <border>
      <left/>
      <right style="hair">
        <color auto="1"/>
      </right>
      <top/>
      <bottom/>
      <diagonal/>
    </border>
    <border>
      <left/>
      <right/>
      <top style="hair">
        <color indexed="55"/>
      </top>
      <bottom style="hair">
        <color indexed="55"/>
      </bottom>
      <diagonal/>
    </border>
    <border>
      <left style="thin">
        <color indexed="22"/>
      </left>
      <right style="thin">
        <color indexed="22"/>
      </right>
      <top style="thin">
        <color indexed="22"/>
      </top>
      <bottom style="thin">
        <color indexed="22"/>
      </bottom>
      <diagonal/>
    </border>
    <border>
      <left/>
      <right/>
      <top/>
      <bottom style="medium">
        <color indexed="45"/>
      </bottom>
      <diagonal/>
    </border>
    <border>
      <left/>
      <right/>
      <top/>
      <bottom style="thin">
        <color indexed="45"/>
      </bottom>
      <diagonal/>
    </border>
    <border>
      <left/>
      <right/>
      <top style="medium">
        <color indexed="45"/>
      </top>
      <bottom/>
      <diagonal/>
    </border>
    <border>
      <left/>
      <right/>
      <top/>
      <bottom style="double">
        <color indexed="45"/>
      </bottom>
      <diagonal/>
    </border>
    <border>
      <left/>
      <right/>
      <top/>
      <bottom style="thin">
        <color indexed="8"/>
      </bottom>
      <diagonal/>
    </border>
    <border>
      <left/>
      <right/>
      <top style="medium">
        <color indexed="23"/>
      </top>
      <bottom style="medium">
        <color indexed="23"/>
      </bottom>
      <diagonal/>
    </border>
    <border>
      <left/>
      <right style="thin">
        <color indexed="8"/>
      </right>
      <top/>
      <bottom/>
      <diagonal/>
    </border>
    <border>
      <left/>
      <right/>
      <top/>
      <bottom style="thick">
        <color indexed="49"/>
      </bottom>
      <diagonal/>
    </border>
    <border>
      <left/>
      <right/>
      <top/>
      <bottom style="thick">
        <color indexed="10"/>
      </bottom>
      <diagonal/>
    </border>
    <border>
      <left/>
      <right/>
      <top/>
      <bottom style="medium">
        <color indexed="10"/>
      </bottom>
      <diagonal/>
    </border>
    <border>
      <left/>
      <right/>
      <top/>
      <bottom style="double">
        <color indexed="13"/>
      </bottom>
      <diagonal/>
    </border>
    <border>
      <left style="double">
        <color indexed="63"/>
      </left>
      <right style="double">
        <color indexed="63"/>
      </right>
      <top style="double">
        <color indexed="63"/>
      </top>
      <bottom style="double">
        <color indexed="63"/>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medium">
        <color rgb="FFC00000"/>
      </left>
      <right style="medium">
        <color rgb="FFC00000"/>
      </right>
      <top style="medium">
        <color rgb="FFC00000"/>
      </top>
      <bottom/>
      <diagonal/>
    </border>
    <border>
      <left/>
      <right/>
      <top style="medium">
        <color rgb="FFC00000"/>
      </top>
      <bottom/>
      <diagonal/>
    </border>
    <border>
      <left/>
      <right style="medium">
        <color rgb="FFC00000"/>
      </right>
      <top style="medium">
        <color rgb="FFC00000"/>
      </top>
      <bottom/>
      <diagonal/>
    </border>
    <border>
      <left style="thin">
        <color theme="9" tint="0.39997558519241921"/>
      </left>
      <right style="thin">
        <color theme="9" tint="0.39997558519241921"/>
      </right>
      <top/>
      <bottom/>
      <diagonal/>
    </border>
    <border>
      <left style="medium">
        <color rgb="FFC00000"/>
      </left>
      <right style="medium">
        <color rgb="FFC00000"/>
      </right>
      <top/>
      <bottom/>
      <diagonal/>
    </border>
    <border>
      <left/>
      <right style="medium">
        <color rgb="FFC00000"/>
      </right>
      <top/>
      <bottom/>
      <diagonal/>
    </border>
    <border>
      <left style="medium">
        <color indexed="64"/>
      </left>
      <right/>
      <top style="medium">
        <color indexed="64"/>
      </top>
      <bottom/>
      <diagonal/>
    </border>
    <border>
      <left style="medium">
        <color indexed="64"/>
      </left>
      <right style="medium">
        <color indexed="64"/>
      </right>
      <top style="medium">
        <color indexed="64"/>
      </top>
      <bottom/>
      <diagonal/>
    </border>
    <border>
      <left style="medium">
        <color indexed="64"/>
      </left>
      <right/>
      <top/>
      <bottom/>
      <diagonal/>
    </border>
    <border>
      <left style="medium">
        <color indexed="64"/>
      </left>
      <right style="thin">
        <color theme="9" tint="0.39997558519241921"/>
      </right>
      <top style="thin">
        <color theme="9" tint="0.39997558519241921"/>
      </top>
      <bottom style="thin">
        <color theme="9" tint="0.39997558519241921"/>
      </bottom>
      <diagonal/>
    </border>
    <border>
      <left style="medium">
        <color indexed="64"/>
      </left>
      <right style="thin">
        <color theme="9" tint="0.39997558519241921"/>
      </right>
      <top/>
      <bottom/>
      <diagonal/>
    </border>
    <border>
      <left style="medium">
        <color rgb="FFC00000"/>
      </left>
      <right/>
      <top/>
      <bottom/>
      <diagonal/>
    </border>
    <border>
      <left style="medium">
        <color indexed="64"/>
      </left>
      <right style="thin">
        <color theme="9" tint="0.39997558519241921"/>
      </right>
      <top/>
      <bottom style="medium">
        <color indexed="64"/>
      </bottom>
      <diagonal/>
    </border>
    <border>
      <left style="medium">
        <color rgb="FFC00000"/>
      </left>
      <right style="medium">
        <color rgb="FFC00000"/>
      </right>
      <top/>
      <bottom style="medium">
        <color indexed="64"/>
      </bottom>
      <diagonal/>
    </border>
    <border>
      <left style="medium">
        <color rgb="FFC00000"/>
      </left>
      <right style="medium">
        <color rgb="FFC00000"/>
      </right>
      <top style="medium">
        <color indexed="64"/>
      </top>
      <bottom/>
      <diagonal/>
    </border>
    <border>
      <left/>
      <right style="medium">
        <color rgb="FFC00000"/>
      </right>
      <top style="medium">
        <color indexed="64"/>
      </top>
      <bottom/>
      <diagonal/>
    </border>
    <border>
      <left style="medium">
        <color indexed="64"/>
      </left>
      <right style="thin">
        <color theme="9" tint="0.39997558519241921"/>
      </right>
      <top style="thin">
        <color theme="9" tint="0.39997558519241921"/>
      </top>
      <bottom/>
      <diagonal/>
    </border>
    <border>
      <left style="medium">
        <color indexed="64"/>
      </left>
      <right style="thin">
        <color theme="9" tint="0.39997558519241921"/>
      </right>
      <top/>
      <bottom style="thin">
        <color theme="9" tint="0.39997558519241921"/>
      </bottom>
      <diagonal/>
    </border>
    <border>
      <left style="medium">
        <color indexed="64"/>
      </left>
      <right style="thin">
        <color theme="9" tint="0.39997558519241921"/>
      </right>
      <top style="medium">
        <color indexed="64"/>
      </top>
      <bottom style="thin">
        <color theme="9" tint="0.39997558519241921"/>
      </bottom>
      <diagonal/>
    </border>
    <border>
      <left style="medium">
        <color indexed="64"/>
      </left>
      <right/>
      <top/>
      <bottom style="medium">
        <color indexed="64"/>
      </bottom>
      <diagonal/>
    </border>
    <border>
      <left style="medium">
        <color indexed="64"/>
      </left>
      <right/>
      <top style="medium">
        <color indexed="64"/>
      </top>
      <bottom style="thin">
        <color theme="9" tint="0.39997558519241921"/>
      </bottom>
      <diagonal/>
    </border>
    <border>
      <left style="thin">
        <color theme="9" tint="0.39997558519241921"/>
      </left>
      <right style="thin">
        <color theme="9" tint="0.39997558519241921"/>
      </right>
      <top style="thin">
        <color theme="9" tint="0.39997558519241921"/>
      </top>
      <bottom style="thin">
        <color theme="9" tint="0.39997558519241921"/>
      </bottom>
      <diagonal/>
    </border>
    <border>
      <left style="double">
        <color rgb="FF3F3F3F"/>
      </left>
      <right/>
      <top style="double">
        <color rgb="FF3F3F3F"/>
      </top>
      <bottom style="double">
        <color rgb="FF3F3F3F"/>
      </bottom>
      <diagonal/>
    </border>
  </borders>
  <cellStyleXfs count="819">
    <xf numFmtId="0" fontId="0" fillId="0" borderId="0"/>
    <xf numFmtId="9" fontId="9" fillId="0" borderId="0" applyFont="0" applyFill="0" applyBorder="0" applyAlignment="0" applyProtection="0"/>
    <xf numFmtId="0" fontId="8" fillId="0" borderId="0"/>
    <xf numFmtId="43" fontId="12" fillId="0" borderId="0" applyFont="0" applyFill="0" applyBorder="0" applyAlignment="0" applyProtection="0"/>
    <xf numFmtId="9" fontId="12" fillId="0" borderId="0" applyFont="0" applyFill="0" applyBorder="0" applyAlignment="0" applyProtection="0"/>
    <xf numFmtId="0" fontId="13" fillId="3" borderId="0" applyNumberFormat="0" applyBorder="0" applyAlignment="0" applyProtection="0"/>
    <xf numFmtId="0" fontId="14" fillId="2" borderId="0" applyNumberFormat="0" applyBorder="0" applyAlignment="0" applyProtection="0"/>
    <xf numFmtId="0" fontId="7" fillId="0" borderId="0"/>
    <xf numFmtId="0" fontId="9" fillId="0" borderId="0"/>
    <xf numFmtId="0" fontId="6" fillId="0" borderId="0"/>
    <xf numFmtId="43" fontId="9" fillId="0" borderId="0" applyFont="0" applyFill="0" applyBorder="0" applyAlignment="0" applyProtection="0"/>
    <xf numFmtId="9" fontId="9" fillId="0" borderId="0" applyFont="0" applyFill="0" applyBorder="0" applyAlignment="0" applyProtection="0"/>
    <xf numFmtId="166" fontId="9" fillId="0" borderId="0" applyFont="0" applyFill="0" applyBorder="0" applyAlignment="0" applyProtection="0"/>
    <xf numFmtId="0" fontId="16" fillId="0" borderId="0"/>
    <xf numFmtId="0" fontId="5" fillId="0" borderId="0"/>
    <xf numFmtId="0" fontId="5" fillId="0" borderId="0"/>
    <xf numFmtId="0" fontId="5" fillId="0" borderId="0"/>
    <xf numFmtId="43" fontId="9" fillId="0" borderId="0" applyFont="0" applyFill="0" applyBorder="0" applyAlignment="0" applyProtection="0"/>
    <xf numFmtId="0" fontId="17" fillId="5" borderId="0" applyNumberFormat="0" applyBorder="0" applyAlignment="0" applyProtection="0"/>
    <xf numFmtId="0" fontId="9" fillId="0" borderId="0"/>
    <xf numFmtId="0" fontId="9" fillId="0" borderId="0"/>
    <xf numFmtId="0" fontId="15" fillId="0" borderId="0"/>
    <xf numFmtId="0" fontId="4" fillId="0" borderId="0"/>
    <xf numFmtId="0" fontId="4" fillId="0" borderId="0"/>
    <xf numFmtId="0" fontId="4" fillId="0" borderId="0"/>
    <xf numFmtId="0" fontId="4" fillId="0" borderId="0"/>
    <xf numFmtId="0" fontId="4" fillId="0" borderId="0"/>
    <xf numFmtId="0" fontId="4" fillId="0" borderId="0"/>
    <xf numFmtId="0" fontId="3" fillId="0" borderId="0"/>
    <xf numFmtId="0" fontId="46" fillId="13" borderId="0" applyNumberFormat="0" applyBorder="0" applyAlignment="0" applyProtection="0"/>
    <xf numFmtId="9" fontId="15" fillId="0" borderId="0" applyFont="0" applyFill="0" applyBorder="0" applyAlignment="0" applyProtection="0"/>
    <xf numFmtId="0" fontId="53" fillId="0" borderId="0"/>
    <xf numFmtId="177" fontId="54" fillId="0" borderId="0">
      <alignment horizontal="right"/>
    </xf>
    <xf numFmtId="0" fontId="55" fillId="0" borderId="0"/>
    <xf numFmtId="0" fontId="56" fillId="0" borderId="0"/>
    <xf numFmtId="178" fontId="9" fillId="0" borderId="0" applyFill="0" applyBorder="0" applyProtection="0">
      <alignment horizontal="right"/>
    </xf>
    <xf numFmtId="179" fontId="57" fillId="0" borderId="0" applyFill="0" applyBorder="0" applyProtection="0">
      <alignment horizontal="right"/>
    </xf>
    <xf numFmtId="178" fontId="9" fillId="0" borderId="0">
      <alignment horizontal="right"/>
    </xf>
    <xf numFmtId="180" fontId="55" fillId="0" borderId="0">
      <alignment horizontal="right"/>
    </xf>
    <xf numFmtId="180" fontId="56" fillId="0" borderId="0">
      <alignment horizontal="right"/>
    </xf>
    <xf numFmtId="0" fontId="16" fillId="0" borderId="0"/>
    <xf numFmtId="0" fontId="16" fillId="0" borderId="0"/>
    <xf numFmtId="181" fontId="58" fillId="0" borderId="0" applyFont="0" applyFill="0" applyBorder="0" applyAlignment="0" applyProtection="0"/>
    <xf numFmtId="181" fontId="58" fillId="0" borderId="0" applyFont="0" applyFill="0" applyBorder="0" applyAlignment="0" applyProtection="0"/>
    <xf numFmtId="0" fontId="59" fillId="0" borderId="0" applyNumberFormat="0" applyFont="0" applyFill="0" applyBorder="0" applyAlignment="0" applyProtection="0"/>
    <xf numFmtId="0" fontId="60" fillId="0" borderId="0" applyFont="0" applyFill="0" applyBorder="0" applyAlignment="0" applyProtection="0"/>
    <xf numFmtId="0" fontId="61" fillId="0" borderId="0" applyNumberFormat="0" applyFill="0" applyBorder="0" applyAlignment="0" applyProtection="0">
      <alignment vertical="top"/>
      <protection locked="0"/>
    </xf>
    <xf numFmtId="0" fontId="62" fillId="0" borderId="0"/>
    <xf numFmtId="0" fontId="16" fillId="0" borderId="0"/>
    <xf numFmtId="0" fontId="16" fillId="0" borderId="0"/>
    <xf numFmtId="0" fontId="16" fillId="0" borderId="0"/>
    <xf numFmtId="0" fontId="16" fillId="0" borderId="0"/>
    <xf numFmtId="0" fontId="16" fillId="0" borderId="0"/>
    <xf numFmtId="0" fontId="16" fillId="0" borderId="0"/>
    <xf numFmtId="0" fontId="16" fillId="0" borderId="0"/>
    <xf numFmtId="0" fontId="16" fillId="0" borderId="0"/>
    <xf numFmtId="0" fontId="16" fillId="0" borderId="0"/>
    <xf numFmtId="0" fontId="16" fillId="0" borderId="0"/>
    <xf numFmtId="0" fontId="63" fillId="0" borderId="0"/>
    <xf numFmtId="3" fontId="64" fillId="0" borderId="0"/>
    <xf numFmtId="0" fontId="16" fillId="0" borderId="0" applyNumberFormat="0" applyFill="0" applyBorder="0" applyAlignment="0" applyProtection="0"/>
    <xf numFmtId="0" fontId="53" fillId="0" borderId="0"/>
    <xf numFmtId="182" fontId="16" fillId="0" borderId="0" applyFont="0" applyFill="0" applyBorder="0" applyAlignment="0" applyProtection="0"/>
    <xf numFmtId="0" fontId="16" fillId="0" borderId="0"/>
    <xf numFmtId="183" fontId="53" fillId="0" borderId="0" applyFont="0" applyFill="0" applyBorder="0" applyAlignment="0" applyProtection="0"/>
    <xf numFmtId="0" fontId="63" fillId="0" borderId="0"/>
    <xf numFmtId="39" fontId="16" fillId="0" borderId="0" applyFont="0" applyFill="0" applyBorder="0" applyAlignment="0" applyProtection="0"/>
    <xf numFmtId="0" fontId="53" fillId="0" borderId="0"/>
    <xf numFmtId="0" fontId="16" fillId="0" borderId="0" applyNumberFormat="0" applyFill="0" applyBorder="0" applyAlignment="0" applyProtection="0"/>
    <xf numFmtId="0" fontId="10" fillId="0" borderId="0"/>
    <xf numFmtId="0" fontId="10" fillId="0" borderId="0"/>
    <xf numFmtId="0" fontId="53" fillId="0" borderId="0"/>
    <xf numFmtId="0" fontId="16" fillId="0" borderId="0" applyNumberFormat="0" applyFill="0" applyBorder="0" applyAlignment="0" applyProtection="0"/>
    <xf numFmtId="0" fontId="16" fillId="0" borderId="0"/>
    <xf numFmtId="0" fontId="16" fillId="0" borderId="0"/>
    <xf numFmtId="0" fontId="16" fillId="0" borderId="0"/>
    <xf numFmtId="0" fontId="63" fillId="0" borderId="0"/>
    <xf numFmtId="0" fontId="53" fillId="0" borderId="0"/>
    <xf numFmtId="0" fontId="65" fillId="0" borderId="0"/>
    <xf numFmtId="3" fontId="64" fillId="0" borderId="0"/>
    <xf numFmtId="0" fontId="16" fillId="0" borderId="0" applyNumberFormat="0" applyFill="0" applyBorder="0" applyAlignment="0" applyProtection="0"/>
    <xf numFmtId="0" fontId="16" fillId="0" borderId="0" applyNumberFormat="0" applyFill="0" applyBorder="0" applyAlignment="0" applyProtection="0"/>
    <xf numFmtId="184" fontId="53" fillId="0" borderId="0" applyFont="0" applyFill="0" applyBorder="0" applyAlignment="0" applyProtection="0"/>
    <xf numFmtId="182" fontId="53" fillId="0" borderId="0" applyFont="0" applyFill="0" applyBorder="0" applyAlignment="0" applyProtection="0"/>
    <xf numFmtId="3" fontId="64" fillId="0" borderId="0"/>
    <xf numFmtId="3" fontId="64" fillId="0" borderId="0"/>
    <xf numFmtId="3" fontId="64" fillId="0" borderId="0"/>
    <xf numFmtId="3" fontId="64" fillId="0" borderId="0"/>
    <xf numFmtId="3" fontId="64" fillId="0" borderId="0"/>
    <xf numFmtId="3" fontId="64" fillId="0" borderId="0"/>
    <xf numFmtId="3" fontId="64" fillId="0" borderId="0"/>
    <xf numFmtId="3" fontId="64" fillId="0" borderId="0"/>
    <xf numFmtId="3" fontId="64" fillId="0" borderId="0"/>
    <xf numFmtId="3" fontId="64" fillId="0" borderId="0"/>
    <xf numFmtId="3" fontId="64" fillId="0" borderId="0"/>
    <xf numFmtId="3" fontId="64" fillId="0" borderId="0"/>
    <xf numFmtId="3" fontId="64" fillId="0" borderId="0"/>
    <xf numFmtId="3" fontId="64" fillId="0" borderId="0"/>
    <xf numFmtId="3" fontId="64" fillId="0" borderId="0"/>
    <xf numFmtId="0" fontId="16" fillId="0" borderId="0" applyNumberFormat="0" applyFill="0" applyBorder="0" applyAlignment="0" applyProtection="0"/>
    <xf numFmtId="0" fontId="16" fillId="0" borderId="0" applyNumberFormat="0" applyFill="0" applyBorder="0" applyAlignment="0" applyProtection="0"/>
    <xf numFmtId="185" fontId="53" fillId="0" borderId="0" applyFont="0" applyFill="0" applyBorder="0" applyAlignment="0" applyProtection="0"/>
    <xf numFmtId="186" fontId="53" fillId="0" borderId="0" applyFont="0" applyFill="0" applyBorder="0" applyAlignment="0" applyProtection="0"/>
    <xf numFmtId="164" fontId="6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64" fontId="66" fillId="0" borderId="0" applyFont="0" applyFill="0" applyBorder="0" applyAlignment="0" applyProtection="0"/>
    <xf numFmtId="0" fontId="16" fillId="0" borderId="0" applyNumberFormat="0" applyFill="0" applyBorder="0" applyAlignment="0" applyProtection="0"/>
    <xf numFmtId="3" fontId="64" fillId="0" borderId="0"/>
    <xf numFmtId="0" fontId="16" fillId="0" borderId="0" applyNumberFormat="0" applyFill="0" applyBorder="0" applyAlignment="0" applyProtection="0"/>
    <xf numFmtId="0" fontId="53" fillId="0" borderId="0"/>
    <xf numFmtId="0" fontId="16" fillId="0" borderId="0" applyNumberFormat="0" applyFill="0" applyBorder="0" applyAlignment="0" applyProtection="0"/>
    <xf numFmtId="0" fontId="63" fillId="0" borderId="0"/>
    <xf numFmtId="0" fontId="16" fillId="0" borderId="0"/>
    <xf numFmtId="3" fontId="64" fillId="0" borderId="0"/>
    <xf numFmtId="0" fontId="65" fillId="0" borderId="0"/>
    <xf numFmtId="187" fontId="63" fillId="0" borderId="0" applyFont="0" applyFill="0" applyBorder="0" applyAlignment="0" applyProtection="0"/>
    <xf numFmtId="0" fontId="16" fillId="0" borderId="0"/>
    <xf numFmtId="188" fontId="63" fillId="0" borderId="0" applyFont="0" applyFill="0" applyBorder="0" applyAlignment="0" applyProtection="0"/>
    <xf numFmtId="0" fontId="16" fillId="0" borderId="0"/>
    <xf numFmtId="0" fontId="16" fillId="0" borderId="0"/>
    <xf numFmtId="0" fontId="16" fillId="0" borderId="0"/>
    <xf numFmtId="0" fontId="67" fillId="0" borderId="0" applyNumberFormat="0" applyFill="0" applyBorder="0" applyAlignment="0" applyProtection="0">
      <alignment vertical="top"/>
      <protection locked="0"/>
    </xf>
    <xf numFmtId="0" fontId="53" fillId="0" borderId="0"/>
    <xf numFmtId="0" fontId="53" fillId="0" borderId="0"/>
    <xf numFmtId="0" fontId="68" fillId="0" borderId="0" applyNumberFormat="0" applyFill="0" applyBorder="0" applyAlignment="0" applyProtection="0">
      <alignment vertical="top"/>
      <protection locked="0"/>
    </xf>
    <xf numFmtId="0" fontId="69" fillId="0" borderId="0" applyNumberFormat="0" applyFill="0" applyBorder="0" applyAlignment="0" applyProtection="0">
      <alignment vertical="top"/>
      <protection locked="0"/>
    </xf>
    <xf numFmtId="1" fontId="70" fillId="0" borderId="0"/>
    <xf numFmtId="3" fontId="9" fillId="0" borderId="0" applyFill="0" applyBorder="0" applyProtection="0"/>
    <xf numFmtId="9" fontId="16" fillId="0" borderId="0"/>
    <xf numFmtId="0" fontId="63" fillId="0" borderId="0"/>
    <xf numFmtId="168" fontId="70" fillId="0" borderId="0"/>
    <xf numFmtId="167" fontId="70" fillId="0" borderId="0"/>
    <xf numFmtId="168" fontId="70" fillId="0" borderId="0"/>
    <xf numFmtId="2" fontId="70" fillId="0" borderId="0"/>
    <xf numFmtId="10" fontId="70" fillId="0" borderId="0"/>
    <xf numFmtId="2" fontId="70" fillId="0" borderId="0"/>
    <xf numFmtId="0" fontId="70" fillId="0" borderId="0"/>
    <xf numFmtId="184" fontId="70" fillId="0" borderId="0"/>
    <xf numFmtId="184" fontId="70" fillId="0" borderId="0"/>
    <xf numFmtId="0" fontId="70" fillId="0" borderId="0"/>
    <xf numFmtId="0" fontId="16" fillId="0" borderId="61" applyNumberFormat="0" applyFont="0" applyFill="0" applyBorder="0" applyAlignment="0">
      <alignment horizontal="left"/>
    </xf>
    <xf numFmtId="189" fontId="9" fillId="0" borderId="0" applyFill="0" applyBorder="0" applyProtection="0"/>
    <xf numFmtId="190" fontId="9" fillId="0" borderId="0" applyFill="0" applyBorder="0" applyProtection="0"/>
    <xf numFmtId="4" fontId="9" fillId="0" borderId="0" applyFill="0" applyBorder="0" applyProtection="0"/>
    <xf numFmtId="0" fontId="71" fillId="34" borderId="0" applyNumberFormat="0" applyBorder="0" applyAlignment="0" applyProtection="0"/>
    <xf numFmtId="0" fontId="71" fillId="35" borderId="0" applyNumberFormat="0" applyBorder="0" applyAlignment="0" applyProtection="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38" borderId="0" applyNumberFormat="0" applyBorder="0" applyAlignment="0" applyProtection="0"/>
    <xf numFmtId="191" fontId="72" fillId="0" borderId="61" applyNumberFormat="0" applyFont="0" applyFill="0" applyBorder="0" applyAlignment="0"/>
    <xf numFmtId="170" fontId="53" fillId="0" borderId="0" applyFont="0" applyFill="0" applyBorder="0" applyAlignment="0" applyProtection="0"/>
    <xf numFmtId="192" fontId="53" fillId="0" borderId="0" applyFont="0" applyFill="0" applyBorder="0" applyAlignment="0" applyProtection="0"/>
    <xf numFmtId="0" fontId="71" fillId="34" borderId="0" applyNumberFormat="0" applyBorder="0" applyAlignment="0" applyProtection="0"/>
    <xf numFmtId="0" fontId="71" fillId="35" borderId="0" applyNumberFormat="0" applyBorder="0" applyAlignment="0" applyProtection="0"/>
    <xf numFmtId="0" fontId="71" fillId="35" borderId="0" applyNumberFormat="0" applyBorder="0" applyAlignment="0" applyProtection="0"/>
    <xf numFmtId="0" fontId="71" fillId="39" borderId="0" applyNumberFormat="0" applyBorder="0" applyAlignment="0" applyProtection="0"/>
    <xf numFmtId="0" fontId="71" fillId="37" borderId="0" applyNumberFormat="0" applyBorder="0" applyAlignment="0" applyProtection="0"/>
    <xf numFmtId="0" fontId="71" fillId="40" borderId="0" applyNumberFormat="0" applyBorder="0" applyAlignment="0" applyProtection="0"/>
    <xf numFmtId="0" fontId="73" fillId="37" borderId="0" applyNumberFormat="0" applyBorder="0" applyAlignment="0" applyProtection="0"/>
    <xf numFmtId="0" fontId="73" fillId="35" borderId="0" applyNumberFormat="0" applyBorder="0" applyAlignment="0" applyProtection="0"/>
    <xf numFmtId="0" fontId="73" fillId="35" borderId="0" applyNumberFormat="0" applyBorder="0" applyAlignment="0" applyProtection="0"/>
    <xf numFmtId="0" fontId="73" fillId="41" borderId="0" applyNumberFormat="0" applyBorder="0" applyAlignment="0" applyProtection="0"/>
    <xf numFmtId="0" fontId="73" fillId="42" borderId="0" applyNumberFormat="0" applyBorder="0" applyAlignment="0" applyProtection="0"/>
    <xf numFmtId="0" fontId="73" fillId="40" borderId="0" applyNumberFormat="0" applyBorder="0" applyAlignment="0" applyProtection="0"/>
    <xf numFmtId="37" fontId="74" fillId="0" borderId="0">
      <alignment horizontal="center"/>
    </xf>
    <xf numFmtId="182" fontId="75" fillId="43" borderId="0" applyFont="0" applyBorder="0"/>
    <xf numFmtId="0" fontId="72" fillId="44" borderId="0"/>
    <xf numFmtId="182" fontId="75" fillId="45" borderId="0" applyNumberFormat="0" applyFont="0" applyBorder="0" applyAlignment="0" applyProtection="0"/>
    <xf numFmtId="182" fontId="76" fillId="46" borderId="0" applyNumberFormat="0" applyFont="0" applyBorder="0" applyAlignment="0" applyProtection="0"/>
    <xf numFmtId="182" fontId="10" fillId="47" borderId="0" applyBorder="0"/>
    <xf numFmtId="182" fontId="16" fillId="0" borderId="58" applyNumberFormat="0" applyBorder="0" applyAlignment="0" applyProtection="0"/>
    <xf numFmtId="193" fontId="77" fillId="0" borderId="0" applyBorder="0">
      <alignment horizontal="right"/>
    </xf>
    <xf numFmtId="193" fontId="10" fillId="0" borderId="58" applyBorder="0">
      <alignment horizontal="right"/>
    </xf>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82" fontId="16" fillId="0" borderId="58" applyNumberFormat="0" applyBorder="0" applyAlignment="0" applyProtection="0"/>
    <xf numFmtId="167" fontId="78" fillId="0" borderId="0" applyBorder="0">
      <alignment horizontal="right"/>
    </xf>
    <xf numFmtId="167" fontId="79" fillId="0" borderId="58" applyBorder="0">
      <alignment horizontal="right"/>
    </xf>
    <xf numFmtId="182" fontId="80" fillId="0" borderId="0">
      <alignment horizontal="left" indent="1"/>
    </xf>
    <xf numFmtId="182" fontId="81" fillId="0" borderId="62" applyBorder="0"/>
    <xf numFmtId="182" fontId="75" fillId="48" borderId="58" applyNumberFormat="0" applyFont="0" applyBorder="0" applyAlignment="0" applyProtection="0"/>
    <xf numFmtId="193" fontId="82" fillId="49" borderId="62" applyBorder="0">
      <alignment horizontal="right"/>
    </xf>
    <xf numFmtId="193" fontId="82" fillId="0" borderId="62" applyBorder="0">
      <alignment horizontal="right"/>
    </xf>
    <xf numFmtId="182" fontId="64" fillId="0" borderId="58" applyNumberFormat="0" applyBorder="0" applyAlignment="0" applyProtection="0"/>
    <xf numFmtId="0" fontId="82" fillId="43" borderId="63" applyBorder="0">
      <alignment horizontal="center"/>
    </xf>
    <xf numFmtId="0" fontId="10" fillId="0" borderId="0" applyNumberFormat="0" applyAlignment="0"/>
    <xf numFmtId="0" fontId="10" fillId="0" borderId="0" applyNumberFormat="0" applyAlignment="0"/>
    <xf numFmtId="0" fontId="83" fillId="50" borderId="64">
      <alignment horizontal="center" vertical="center"/>
    </xf>
    <xf numFmtId="194" fontId="84" fillId="0" borderId="65"/>
    <xf numFmtId="0" fontId="85" fillId="0" borderId="0" applyFont="0" applyFill="0" applyBorder="0" applyAlignment="0" applyProtection="0"/>
    <xf numFmtId="0" fontId="16" fillId="0" borderId="0" applyFont="0" applyFill="0" applyBorder="0" applyAlignment="0" applyProtection="0"/>
    <xf numFmtId="0" fontId="86" fillId="0" borderId="0" applyFont="0" applyFill="0" applyBorder="0" applyAlignment="0" applyProtection="0"/>
    <xf numFmtId="0" fontId="85" fillId="0" borderId="0" applyFont="0" applyFill="0" applyBorder="0" applyAlignment="0" applyProtection="0"/>
    <xf numFmtId="0" fontId="86" fillId="0" borderId="0" applyFont="0" applyFill="0" applyBorder="0" applyAlignment="0" applyProtection="0"/>
    <xf numFmtId="0" fontId="85" fillId="0" borderId="0" applyFont="0" applyFill="0" applyBorder="0" applyAlignment="0" applyProtection="0"/>
    <xf numFmtId="0" fontId="87" fillId="0" borderId="0" applyFont="0" applyFill="0" applyBorder="0" applyAlignment="0" applyProtection="0"/>
    <xf numFmtId="0" fontId="88" fillId="0" borderId="0" applyFont="0" applyFill="0" applyBorder="0" applyAlignment="0" applyProtection="0"/>
    <xf numFmtId="0" fontId="86" fillId="0" borderId="0" applyFont="0" applyFill="0" applyBorder="0" applyAlignment="0" applyProtection="0"/>
    <xf numFmtId="0" fontId="85" fillId="0" borderId="0" applyFont="0" applyFill="0" applyBorder="0" applyAlignment="0" applyProtection="0"/>
    <xf numFmtId="0" fontId="86" fillId="0" borderId="0" applyFont="0" applyFill="0" applyBorder="0" applyAlignment="0" applyProtection="0"/>
    <xf numFmtId="0" fontId="85" fillId="0" borderId="0" applyFont="0" applyFill="0" applyBorder="0" applyAlignment="0" applyProtection="0"/>
    <xf numFmtId="0" fontId="16" fillId="0" borderId="0" applyFont="0" applyFill="0" applyBorder="0" applyAlignment="0" applyProtection="0"/>
    <xf numFmtId="0" fontId="86" fillId="0" borderId="0" applyFont="0" applyFill="0" applyBorder="0" applyAlignment="0" applyProtection="0"/>
    <xf numFmtId="0" fontId="85" fillId="0" borderId="0" applyFont="0" applyFill="0" applyBorder="0" applyAlignment="0" applyProtection="0"/>
    <xf numFmtId="0" fontId="86" fillId="0" borderId="0" applyFont="0" applyFill="0" applyBorder="0" applyAlignment="0" applyProtection="0"/>
    <xf numFmtId="0" fontId="85" fillId="0" borderId="0" applyFont="0" applyFill="0" applyBorder="0" applyAlignment="0" applyProtection="0"/>
    <xf numFmtId="0" fontId="87" fillId="0" borderId="0" applyFont="0" applyFill="0" applyBorder="0" applyAlignment="0" applyProtection="0"/>
    <xf numFmtId="0" fontId="88" fillId="0" borderId="0" applyFont="0" applyFill="0" applyBorder="0" applyAlignment="0" applyProtection="0"/>
    <xf numFmtId="0" fontId="86" fillId="0" borderId="0" applyFont="0" applyFill="0" applyBorder="0" applyAlignment="0" applyProtection="0"/>
    <xf numFmtId="0" fontId="85" fillId="0" borderId="0" applyFont="0" applyFill="0" applyBorder="0" applyAlignment="0" applyProtection="0"/>
    <xf numFmtId="0" fontId="16" fillId="0" borderId="0" applyFont="0" applyFill="0" applyBorder="0" applyAlignment="0" applyProtection="0"/>
    <xf numFmtId="0" fontId="89" fillId="0" borderId="0"/>
    <xf numFmtId="0" fontId="90" fillId="0" borderId="0"/>
    <xf numFmtId="195" fontId="53" fillId="0" borderId="66" applyBorder="0"/>
    <xf numFmtId="0" fontId="73" fillId="42" borderId="0" applyNumberFormat="0" applyBorder="0" applyAlignment="0" applyProtection="0"/>
    <xf numFmtId="0" fontId="73" fillId="51" borderId="0" applyNumberFormat="0" applyBorder="0" applyAlignment="0" applyProtection="0"/>
    <xf numFmtId="0" fontId="73" fillId="51" borderId="0" applyNumberFormat="0" applyBorder="0" applyAlignment="0" applyProtection="0"/>
    <xf numFmtId="0" fontId="73" fillId="52" borderId="0" applyNumberFormat="0" applyBorder="0" applyAlignment="0" applyProtection="0"/>
    <xf numFmtId="0" fontId="73" fillId="42" borderId="0" applyNumberFormat="0" applyBorder="0" applyAlignment="0" applyProtection="0"/>
    <xf numFmtId="0" fontId="73" fillId="53" borderId="0" applyNumberFormat="0" applyBorder="0" applyAlignment="0" applyProtection="0"/>
    <xf numFmtId="0" fontId="91" fillId="0" borderId="0">
      <alignment horizontal="right"/>
    </xf>
    <xf numFmtId="0" fontId="16" fillId="0" borderId="0" applyNumberFormat="0" applyFill="0" applyBorder="0" applyAlignment="0" applyProtection="0"/>
    <xf numFmtId="0" fontId="16" fillId="0" borderId="0" applyNumberFormat="0" applyFill="0" applyBorder="0" applyAlignment="0" applyProtection="0"/>
    <xf numFmtId="0" fontId="18" fillId="0" borderId="0" applyNumberFormat="0" applyFill="0" applyBorder="0" applyAlignment="0" applyProtection="0"/>
    <xf numFmtId="0" fontId="49" fillId="0" borderId="67" applyNumberFormat="0" applyFill="0" applyBorder="0" applyAlignment="0" applyProtection="0"/>
    <xf numFmtId="0" fontId="11" fillId="0" borderId="67" applyNumberFormat="0" applyFill="0" applyBorder="0" applyAlignment="0" applyProtection="0"/>
    <xf numFmtId="0" fontId="92" fillId="0" borderId="67" applyNumberFormat="0" applyFill="0" applyBorder="0" applyAlignment="0" applyProtection="0"/>
    <xf numFmtId="0" fontId="10" fillId="0" borderId="67" applyNumberFormat="0" applyFill="0" applyAlignment="0" applyProtection="0"/>
    <xf numFmtId="0" fontId="93" fillId="0" borderId="68">
      <protection hidden="1"/>
    </xf>
    <xf numFmtId="0" fontId="94" fillId="41" borderId="68" applyNumberFormat="0" applyFont="0" applyBorder="0" applyAlignment="0" applyProtection="0">
      <protection hidden="1"/>
    </xf>
    <xf numFmtId="0" fontId="16" fillId="0" borderId="0" applyFont="0" applyFill="0" applyBorder="0" applyAlignment="0" applyProtection="0"/>
    <xf numFmtId="0" fontId="95" fillId="0" borderId="0" applyFont="0" applyFill="0" applyBorder="0" applyAlignment="0" applyProtection="0"/>
    <xf numFmtId="0" fontId="16" fillId="0" borderId="0" applyFont="0" applyFill="0" applyBorder="0" applyAlignment="0" applyProtection="0"/>
    <xf numFmtId="0" fontId="95" fillId="0" borderId="0" applyFont="0" applyFill="0" applyBorder="0" applyAlignment="0" applyProtection="0"/>
    <xf numFmtId="0" fontId="85" fillId="0" borderId="0" applyFont="0" applyFill="0" applyBorder="0" applyAlignment="0" applyProtection="0"/>
    <xf numFmtId="0" fontId="85" fillId="0" borderId="0" applyFont="0" applyFill="0" applyBorder="0" applyAlignment="0" applyProtection="0"/>
    <xf numFmtId="0" fontId="96" fillId="36" borderId="69" applyNumberFormat="0" applyAlignment="0" applyProtection="0"/>
    <xf numFmtId="0" fontId="72" fillId="0" borderId="0"/>
    <xf numFmtId="0" fontId="72" fillId="0" borderId="0"/>
    <xf numFmtId="0" fontId="16" fillId="41" borderId="0" applyNumberFormat="0" applyFont="0" applyAlignment="0"/>
    <xf numFmtId="196" fontId="9" fillId="0" borderId="0" applyFill="0" applyBorder="0" applyAlignment="0" applyProtection="0">
      <protection locked="0"/>
    </xf>
    <xf numFmtId="0" fontId="97" fillId="44" borderId="0" applyNumberFormat="0" applyBorder="0" applyAlignment="0">
      <protection hidden="1"/>
    </xf>
    <xf numFmtId="0" fontId="98" fillId="36" borderId="70" applyNumberFormat="0" applyAlignment="0" applyProtection="0"/>
    <xf numFmtId="197" fontId="99" fillId="0" borderId="0"/>
    <xf numFmtId="198" fontId="100" fillId="0" borderId="0"/>
    <xf numFmtId="0" fontId="100" fillId="0" borderId="0"/>
    <xf numFmtId="167" fontId="53" fillId="0" borderId="0"/>
    <xf numFmtId="0" fontId="16" fillId="0" borderId="0"/>
    <xf numFmtId="167" fontId="16" fillId="0" borderId="0"/>
    <xf numFmtId="0" fontId="59" fillId="0" borderId="71">
      <protection hidden="1"/>
    </xf>
    <xf numFmtId="199" fontId="53" fillId="0" borderId="0" applyFont="0" applyFill="0" applyBorder="0" applyAlignment="0" applyProtection="0"/>
    <xf numFmtId="199" fontId="53" fillId="0" borderId="0" applyFont="0" applyFill="0" applyBorder="0" applyAlignment="0" applyProtection="0"/>
    <xf numFmtId="200" fontId="53" fillId="0" borderId="0" applyFont="0" applyFill="0" applyBorder="0" applyAlignment="0" applyProtection="0"/>
    <xf numFmtId="200" fontId="53" fillId="0" borderId="0" applyFont="0" applyFill="0" applyBorder="0" applyAlignment="0" applyProtection="0"/>
    <xf numFmtId="201" fontId="53" fillId="0" borderId="0" applyFont="0" applyFill="0" applyBorder="0" applyAlignment="0" applyProtection="0"/>
    <xf numFmtId="201" fontId="53" fillId="0" borderId="0" applyFont="0" applyFill="0" applyBorder="0" applyAlignment="0" applyProtection="0"/>
    <xf numFmtId="202" fontId="53" fillId="0" borderId="0" applyFont="0" applyFill="0" applyBorder="0" applyAlignment="0" applyProtection="0"/>
    <xf numFmtId="202" fontId="53" fillId="0" borderId="0" applyFont="0" applyFill="0" applyBorder="0" applyAlignment="0" applyProtection="0"/>
    <xf numFmtId="0" fontId="70" fillId="0" borderId="71">
      <protection hidden="1"/>
    </xf>
    <xf numFmtId="0" fontId="101" fillId="0" borderId="0"/>
    <xf numFmtId="0" fontId="102" fillId="0" borderId="0">
      <alignment horizontal="right"/>
    </xf>
    <xf numFmtId="0" fontId="53" fillId="0" borderId="0"/>
    <xf numFmtId="0" fontId="53" fillId="0" borderId="0"/>
    <xf numFmtId="0" fontId="16" fillId="0" borderId="0"/>
    <xf numFmtId="0" fontId="103" fillId="44" borderId="72">
      <alignment horizontal="center" vertical="center"/>
    </xf>
    <xf numFmtId="0" fontId="53" fillId="0" borderId="0"/>
    <xf numFmtId="203" fontId="53" fillId="0" borderId="0"/>
    <xf numFmtId="0" fontId="104" fillId="0" borderId="0" applyNumberFormat="0" applyFill="0" applyBorder="0" applyAlignment="0" applyProtection="0"/>
    <xf numFmtId="0" fontId="105" fillId="0" borderId="73">
      <alignment horizontal="centerContinuous"/>
    </xf>
    <xf numFmtId="0" fontId="106" fillId="0" borderId="0" applyAlignment="0"/>
    <xf numFmtId="167" fontId="106" fillId="0" borderId="0"/>
    <xf numFmtId="0" fontId="106" fillId="0" borderId="73" applyAlignment="0"/>
    <xf numFmtId="0" fontId="107" fillId="0" borderId="1" applyNumberFormat="0" applyFill="0" applyAlignment="0" applyProtection="0"/>
    <xf numFmtId="0" fontId="16" fillId="0" borderId="0"/>
    <xf numFmtId="0" fontId="16" fillId="0" borderId="0"/>
    <xf numFmtId="0" fontId="16" fillId="0" borderId="0"/>
    <xf numFmtId="0" fontId="9" fillId="0" borderId="60" applyNumberFormat="0" applyFont="0" applyFill="0" applyAlignment="0" applyProtection="0"/>
    <xf numFmtId="0" fontId="9" fillId="0" borderId="60" applyNumberFormat="0" applyFont="0" applyFill="0" applyAlignment="0" applyProtection="0"/>
    <xf numFmtId="0" fontId="9" fillId="0" borderId="74" applyNumberFormat="0" applyFont="0" applyFill="0" applyAlignment="0" applyProtection="0"/>
    <xf numFmtId="0" fontId="9" fillId="0" borderId="74" applyNumberFormat="0" applyFont="0" applyFill="0" applyAlignment="0" applyProtection="0"/>
    <xf numFmtId="204" fontId="108" fillId="0" borderId="0" applyFont="0" applyFill="0" applyBorder="0" applyAlignment="0" applyProtection="0"/>
    <xf numFmtId="205" fontId="63" fillId="0" borderId="0" applyFont="0" applyFill="0" applyBorder="0" applyAlignment="0" applyProtection="0"/>
    <xf numFmtId="0" fontId="109" fillId="0" borderId="0"/>
    <xf numFmtId="0" fontId="109" fillId="0" borderId="0"/>
    <xf numFmtId="0" fontId="109" fillId="0" borderId="0"/>
    <xf numFmtId="0" fontId="109" fillId="0" borderId="0"/>
    <xf numFmtId="0" fontId="110" fillId="0" borderId="0"/>
    <xf numFmtId="0" fontId="111" fillId="0" borderId="0"/>
    <xf numFmtId="0" fontId="87" fillId="0" borderId="0"/>
    <xf numFmtId="0" fontId="112" fillId="0" borderId="0"/>
    <xf numFmtId="206" fontId="16" fillId="0" borderId="0" applyFill="0" applyBorder="0" applyAlignment="0"/>
    <xf numFmtId="207" fontId="16" fillId="0" borderId="0" applyFill="0" applyBorder="0" applyAlignment="0"/>
    <xf numFmtId="208" fontId="16" fillId="0" borderId="0" applyFill="0" applyBorder="0" applyAlignment="0"/>
    <xf numFmtId="209" fontId="16" fillId="0" borderId="0" applyFill="0" applyBorder="0" applyAlignment="0"/>
    <xf numFmtId="210" fontId="16" fillId="0" borderId="0" applyFill="0" applyBorder="0" applyAlignment="0"/>
    <xf numFmtId="206" fontId="16" fillId="0" borderId="0" applyFill="0" applyBorder="0" applyAlignment="0"/>
    <xf numFmtId="211" fontId="16" fillId="0" borderId="0" applyFill="0" applyBorder="0" applyAlignment="0"/>
    <xf numFmtId="207" fontId="16" fillId="0" borderId="0" applyFill="0" applyBorder="0" applyAlignment="0"/>
    <xf numFmtId="196" fontId="9" fillId="0" borderId="0" applyFont="0" applyFill="0" applyBorder="0" applyAlignment="0" applyProtection="0">
      <protection locked="0"/>
    </xf>
    <xf numFmtId="197" fontId="100" fillId="0" borderId="0"/>
    <xf numFmtId="1" fontId="16" fillId="0" borderId="0"/>
    <xf numFmtId="0" fontId="113" fillId="0" borderId="0"/>
    <xf numFmtId="0" fontId="10" fillId="0" borderId="0" applyNumberFormat="0" applyFill="0" applyBorder="0" applyAlignment="0" applyProtection="0"/>
    <xf numFmtId="0" fontId="10" fillId="0" borderId="0" applyNumberFormat="0" applyFill="0" applyBorder="0" applyAlignment="0" applyProtection="0"/>
    <xf numFmtId="0" fontId="114" fillId="0" borderId="0" applyNumberFormat="0" applyFill="0" applyBorder="0" applyAlignment="0" applyProtection="0"/>
    <xf numFmtId="0" fontId="115" fillId="0" borderId="1" applyNumberFormat="0" applyFill="0" applyProtection="0">
      <alignment horizontal="left" vertical="center"/>
    </xf>
    <xf numFmtId="0" fontId="16" fillId="0" borderId="0">
      <alignment horizontal="center" wrapText="1"/>
      <protection hidden="1"/>
    </xf>
    <xf numFmtId="0" fontId="116" fillId="0" borderId="1" applyNumberFormat="0" applyFill="0" applyBorder="0" applyProtection="0">
      <alignment horizontal="left" vertical="center"/>
    </xf>
    <xf numFmtId="0" fontId="117" fillId="0" borderId="1" applyNumberFormat="0" applyFill="0" applyBorder="0" applyProtection="0">
      <alignment horizontal="left" vertical="center"/>
    </xf>
    <xf numFmtId="0" fontId="116" fillId="0" borderId="1" applyNumberFormat="0" applyFill="0" applyBorder="0" applyProtection="0">
      <alignment horizontal="right" vertical="center"/>
    </xf>
    <xf numFmtId="0" fontId="117" fillId="0" borderId="1" applyNumberFormat="0" applyFill="0" applyBorder="0" applyProtection="0">
      <alignment horizontal="right" vertical="center"/>
    </xf>
    <xf numFmtId="0" fontId="53" fillId="0" borderId="0" applyFill="0" applyBorder="0" applyProtection="0"/>
    <xf numFmtId="0" fontId="53" fillId="0" borderId="0" applyFill="0" applyBorder="0" applyProtection="0"/>
    <xf numFmtId="0" fontId="118" fillId="0" borderId="0">
      <alignment horizontal="right"/>
    </xf>
    <xf numFmtId="0" fontId="119" fillId="54" borderId="0"/>
    <xf numFmtId="0" fontId="120" fillId="0" borderId="0" applyNumberFormat="0" applyFill="0" applyBorder="0" applyAlignment="0"/>
    <xf numFmtId="185" fontId="121" fillId="0" borderId="0"/>
    <xf numFmtId="185" fontId="121" fillId="0" borderId="0"/>
    <xf numFmtId="185" fontId="121" fillId="0" borderId="0"/>
    <xf numFmtId="185" fontId="121" fillId="0" borderId="0"/>
    <xf numFmtId="185" fontId="121" fillId="0" borderId="0"/>
    <xf numFmtId="185" fontId="121" fillId="0" borderId="0"/>
    <xf numFmtId="185" fontId="121" fillId="0" borderId="0"/>
    <xf numFmtId="185" fontId="121" fillId="0" borderId="0"/>
    <xf numFmtId="193" fontId="122" fillId="0" borderId="0" applyFont="0" applyFill="0" applyBorder="0" applyAlignment="0" applyProtection="0"/>
    <xf numFmtId="0" fontId="53" fillId="0" borderId="0"/>
    <xf numFmtId="0" fontId="123" fillId="0" borderId="0" applyFont="0" applyBorder="0">
      <alignment horizontal="right"/>
    </xf>
    <xf numFmtId="206" fontId="16" fillId="0" borderId="0" applyFont="0" applyFill="0" applyBorder="0" applyAlignment="0" applyProtection="0"/>
    <xf numFmtId="182" fontId="124" fillId="0" borderId="0" applyFont="0" applyFill="0" applyBorder="0" applyAlignment="0" applyProtection="0"/>
    <xf numFmtId="182" fontId="94" fillId="0" borderId="0" applyFont="0" applyFill="0" applyBorder="0" applyAlignment="0" applyProtection="0"/>
    <xf numFmtId="212" fontId="125" fillId="0" borderId="0" applyFont="0" applyFill="0" applyBorder="0" applyAlignment="0" applyProtection="0"/>
    <xf numFmtId="213" fontId="126" fillId="0" borderId="0" applyFont="0" applyFill="0" applyBorder="0" applyAlignment="0" applyProtection="0">
      <alignment horizontal="right"/>
    </xf>
    <xf numFmtId="214" fontId="127" fillId="0" borderId="0" applyFont="0" applyFill="0" applyBorder="0" applyProtection="0">
      <alignment horizontal="right"/>
    </xf>
    <xf numFmtId="215" fontId="126" fillId="0" borderId="0" applyFont="0" applyFill="0" applyBorder="0" applyAlignment="0" applyProtection="0"/>
    <xf numFmtId="216" fontId="53" fillId="0" borderId="0" applyFont="0" applyFill="0" applyBorder="0" applyAlignment="0" applyProtection="0">
      <alignment horizontal="right"/>
    </xf>
    <xf numFmtId="217" fontId="127" fillId="0" borderId="0" applyFont="0" applyFill="0" applyBorder="0" applyProtection="0">
      <alignment horizontal="right"/>
    </xf>
    <xf numFmtId="40" fontId="127" fillId="0" borderId="0" applyFont="0" applyFill="0" applyBorder="0" applyProtection="0">
      <alignment horizontal="right"/>
    </xf>
    <xf numFmtId="43" fontId="16" fillId="0" borderId="0" applyFont="0" applyFill="0" applyBorder="0" applyAlignment="0" applyProtection="0"/>
    <xf numFmtId="3" fontId="16" fillId="0" borderId="0" applyFont="0" applyFill="0" applyBorder="0" applyAlignment="0" applyProtection="0"/>
    <xf numFmtId="166" fontId="16" fillId="0" borderId="0" applyFont="0" applyFill="0" applyBorder="0" applyAlignment="0" applyProtection="0"/>
    <xf numFmtId="43" fontId="15" fillId="0" borderId="0" applyFont="0" applyFill="0" applyBorder="0" applyAlignment="0" applyProtection="0"/>
    <xf numFmtId="3" fontId="128" fillId="46" borderId="59" applyFill="0" applyBorder="0"/>
    <xf numFmtId="4" fontId="16" fillId="0" borderId="0" applyFont="0" applyFill="0" applyBorder="0" applyAlignment="0" applyProtection="0"/>
    <xf numFmtId="38" fontId="63" fillId="0" borderId="0" applyFill="0" applyBorder="0" applyProtection="0">
      <alignment horizontal="center"/>
    </xf>
    <xf numFmtId="217" fontId="124" fillId="0" borderId="0" applyFont="0" applyFill="0" applyBorder="0" applyAlignment="0" applyProtection="0"/>
    <xf numFmtId="217" fontId="94" fillId="0" borderId="0" applyFont="0" applyFill="0" applyBorder="0" applyAlignment="0" applyProtection="0"/>
    <xf numFmtId="3" fontId="129" fillId="0" borderId="0" applyFont="0" applyFill="0" applyBorder="0" applyAlignment="0" applyProtection="0"/>
    <xf numFmtId="214" fontId="16" fillId="0" borderId="0"/>
    <xf numFmtId="0" fontId="130" fillId="43" borderId="0" applyNumberFormat="0" applyFill="0" applyBorder="0" applyAlignment="0"/>
    <xf numFmtId="0" fontId="131" fillId="55" borderId="0">
      <alignment horizontal="center" vertical="center" wrapText="1"/>
    </xf>
    <xf numFmtId="218" fontId="16" fillId="0" borderId="0" applyFont="0" applyFill="0" applyBorder="0" applyAlignment="0" applyProtection="0"/>
    <xf numFmtId="219" fontId="16" fillId="0" borderId="0" applyFill="0" applyBorder="0">
      <alignment horizontal="right"/>
      <protection locked="0"/>
    </xf>
    <xf numFmtId="207" fontId="16" fillId="0" borderId="0" applyFont="0" applyFill="0" applyBorder="0" applyAlignment="0" applyProtection="0"/>
    <xf numFmtId="189" fontId="77" fillId="0" borderId="0" applyFont="0" applyFill="0" applyBorder="0" applyAlignment="0" applyProtection="0"/>
    <xf numFmtId="220" fontId="126" fillId="0" borderId="0" applyFont="0" applyFill="0" applyBorder="0" applyAlignment="0" applyProtection="0">
      <alignment horizontal="right"/>
    </xf>
    <xf numFmtId="178" fontId="132" fillId="0" borderId="0" applyFont="0" applyFill="0" applyBorder="0" applyProtection="0">
      <alignment horizontal="right"/>
      <protection locked="0"/>
    </xf>
    <xf numFmtId="165" fontId="16" fillId="0" borderId="0" applyFont="0" applyFill="0" applyBorder="0" applyAlignment="0" applyProtection="0"/>
    <xf numFmtId="189" fontId="132" fillId="0" borderId="0" applyFont="0" applyFill="0" applyBorder="0" applyProtection="0">
      <alignment horizontal="right"/>
      <protection locked="0"/>
    </xf>
    <xf numFmtId="165" fontId="16" fillId="0" borderId="0" applyFont="0" applyFill="0" applyBorder="0" applyAlignment="0" applyProtection="0"/>
    <xf numFmtId="178" fontId="124" fillId="0" borderId="0"/>
    <xf numFmtId="178" fontId="94" fillId="0" borderId="0"/>
    <xf numFmtId="221" fontId="133" fillId="0" borderId="0"/>
    <xf numFmtId="221" fontId="134" fillId="0" borderId="0"/>
    <xf numFmtId="189" fontId="124" fillId="0" borderId="0" applyFont="0" applyFill="0" applyBorder="0" applyAlignment="0" applyProtection="0"/>
    <xf numFmtId="189" fontId="94" fillId="0" borderId="0" applyFont="0" applyFill="0" applyBorder="0" applyAlignment="0" applyProtection="0"/>
    <xf numFmtId="222" fontId="129" fillId="0" borderId="0" applyFont="0" applyFill="0" applyBorder="0" applyAlignment="0" applyProtection="0"/>
    <xf numFmtId="0" fontId="70" fillId="0" borderId="0" applyFont="0" applyFill="0" applyBorder="0" applyAlignment="0">
      <protection locked="0"/>
    </xf>
    <xf numFmtId="0" fontId="135" fillId="0" borderId="0"/>
    <xf numFmtId="223" fontId="55" fillId="43" borderId="65">
      <alignment horizontal="right"/>
    </xf>
    <xf numFmtId="223" fontId="56" fillId="43" borderId="65">
      <alignment horizontal="right"/>
    </xf>
    <xf numFmtId="224" fontId="136" fillId="43" borderId="65">
      <alignment horizontal="right"/>
    </xf>
    <xf numFmtId="225" fontId="70" fillId="43" borderId="65">
      <alignment horizontal="right"/>
    </xf>
    <xf numFmtId="226" fontId="70" fillId="43" borderId="65">
      <alignment horizontal="right"/>
    </xf>
    <xf numFmtId="223" fontId="55" fillId="43" borderId="65">
      <alignment horizontal="right"/>
    </xf>
    <xf numFmtId="226" fontId="70" fillId="43" borderId="65">
      <alignment horizontal="right"/>
    </xf>
    <xf numFmtId="226" fontId="70" fillId="43" borderId="65">
      <alignment horizontal="right"/>
    </xf>
    <xf numFmtId="226" fontId="70" fillId="43" borderId="65">
      <alignment horizontal="right"/>
    </xf>
    <xf numFmtId="0" fontId="70" fillId="43" borderId="65">
      <alignment horizontal="right"/>
    </xf>
    <xf numFmtId="226" fontId="70" fillId="43" borderId="65">
      <alignment horizontal="right"/>
    </xf>
    <xf numFmtId="227" fontId="63" fillId="0" borderId="0" applyFont="0" applyFill="0" applyBorder="0" applyAlignment="0" applyProtection="0"/>
    <xf numFmtId="0" fontId="101" fillId="56" borderId="55" applyFill="0" applyBorder="0" applyProtection="0">
      <alignment vertical="top"/>
      <protection locked="0"/>
    </xf>
    <xf numFmtId="37" fontId="101" fillId="0" borderId="75" applyAlignment="0">
      <protection locked="0"/>
    </xf>
    <xf numFmtId="10" fontId="101" fillId="0" borderId="75" applyAlignment="0">
      <protection locked="0"/>
    </xf>
    <xf numFmtId="0" fontId="137" fillId="0" borderId="0" applyFont="0" applyFill="0" applyBorder="0" applyAlignment="0" applyProtection="0"/>
    <xf numFmtId="0" fontId="138" fillId="0" borderId="0"/>
    <xf numFmtId="228" fontId="53" fillId="0" borderId="0" applyFont="0" applyFill="0" applyBorder="0" applyAlignment="0" applyProtection="0"/>
    <xf numFmtId="228" fontId="53" fillId="0" borderId="0" applyFont="0" applyFill="0" applyBorder="0" applyAlignment="0" applyProtection="0"/>
    <xf numFmtId="17" fontId="11" fillId="0" borderId="0" applyFill="0" applyBorder="0">
      <alignment horizontal="right"/>
    </xf>
    <xf numFmtId="229" fontId="126" fillId="0" borderId="0" applyFont="0" applyFill="0" applyBorder="0" applyAlignment="0" applyProtection="0"/>
    <xf numFmtId="14" fontId="113" fillId="0" borderId="0" applyFill="0" applyBorder="0" applyAlignment="0"/>
    <xf numFmtId="14" fontId="113" fillId="0" borderId="0" applyFill="0" applyBorder="0" applyAlignment="0"/>
    <xf numFmtId="0" fontId="139" fillId="0" borderId="0">
      <protection locked="0"/>
    </xf>
    <xf numFmtId="230" fontId="9" fillId="0" borderId="0"/>
    <xf numFmtId="14" fontId="57" fillId="0" borderId="0" applyFont="0" applyFill="0" applyBorder="0" applyAlignment="0" applyProtection="0">
      <alignment horizontal="center"/>
    </xf>
    <xf numFmtId="231" fontId="57" fillId="0" borderId="0" applyFont="0" applyFill="0" applyBorder="0" applyAlignment="0" applyProtection="0">
      <alignment horizontal="center"/>
    </xf>
    <xf numFmtId="232" fontId="140" fillId="0" borderId="0">
      <protection locked="0"/>
    </xf>
    <xf numFmtId="38" fontId="70" fillId="0" borderId="0" applyFont="0" applyFill="0" applyBorder="0" applyAlignment="0" applyProtection="0"/>
    <xf numFmtId="40" fontId="70" fillId="0" borderId="0" applyFont="0" applyFill="0" applyBorder="0" applyAlignment="0" applyProtection="0"/>
    <xf numFmtId="189" fontId="9" fillId="0" borderId="0" applyFont="0" applyFill="0" applyBorder="0" applyAlignment="0" applyProtection="0"/>
    <xf numFmtId="178" fontId="63" fillId="0" borderId="0">
      <alignment horizontal="center"/>
    </xf>
    <xf numFmtId="233" fontId="94" fillId="0" borderId="0"/>
    <xf numFmtId="179" fontId="113" fillId="0" borderId="0" applyFont="0" applyFill="0" applyBorder="0" applyAlignment="0" applyProtection="0">
      <protection locked="0"/>
    </xf>
    <xf numFmtId="178" fontId="9" fillId="0" borderId="0" applyFont="0" applyFill="0" applyBorder="0" applyAlignment="0" applyProtection="0"/>
    <xf numFmtId="234" fontId="126" fillId="0" borderId="76" applyNumberFormat="0" applyFont="0" applyFill="0" applyAlignment="0" applyProtection="0"/>
    <xf numFmtId="235" fontId="141" fillId="0" borderId="0" applyFill="0" applyBorder="0" applyAlignment="0" applyProtection="0"/>
    <xf numFmtId="236" fontId="16" fillId="0" borderId="77" applyNumberFormat="0" applyBorder="0"/>
    <xf numFmtId="193" fontId="142" fillId="56" borderId="0">
      <alignment horizontal="right" vertical="center"/>
    </xf>
    <xf numFmtId="0" fontId="143" fillId="40" borderId="70" applyNumberFormat="0" applyAlignment="0" applyProtection="0"/>
    <xf numFmtId="0" fontId="70" fillId="57" borderId="0">
      <protection hidden="1"/>
    </xf>
    <xf numFmtId="206" fontId="16" fillId="0" borderId="0" applyFill="0" applyBorder="0" applyAlignment="0"/>
    <xf numFmtId="207" fontId="16" fillId="0" borderId="0" applyFill="0" applyBorder="0" applyAlignment="0"/>
    <xf numFmtId="206" fontId="16" fillId="0" borderId="0" applyFill="0" applyBorder="0" applyAlignment="0"/>
    <xf numFmtId="211" fontId="16" fillId="0" borderId="0" applyFill="0" applyBorder="0" applyAlignment="0"/>
    <xf numFmtId="207" fontId="16" fillId="0" borderId="0" applyFill="0" applyBorder="0" applyAlignment="0"/>
    <xf numFmtId="0" fontId="59" fillId="0" borderId="78">
      <alignment horizontal="center" wrapText="1"/>
      <protection hidden="1"/>
    </xf>
    <xf numFmtId="189" fontId="9" fillId="0" borderId="0" applyFont="0" applyFill="0" applyBorder="0" applyAlignment="0" applyProtection="0">
      <alignment horizontal="right"/>
    </xf>
    <xf numFmtId="237" fontId="55" fillId="58" borderId="0"/>
    <xf numFmtId="237" fontId="56" fillId="58" borderId="0"/>
    <xf numFmtId="238" fontId="55" fillId="58" borderId="0"/>
    <xf numFmtId="238" fontId="56" fillId="58" borderId="0"/>
    <xf numFmtId="239" fontId="55" fillId="0" borderId="0"/>
    <xf numFmtId="239" fontId="56" fillId="0" borderId="0"/>
    <xf numFmtId="218" fontId="136" fillId="58" borderId="0"/>
    <xf numFmtId="240" fontId="55" fillId="58" borderId="0"/>
    <xf numFmtId="240" fontId="56" fillId="58" borderId="0"/>
    <xf numFmtId="241" fontId="53" fillId="0" borderId="0" applyFont="0" applyFill="0" applyBorder="0" applyProtection="0">
      <alignment horizontal="left"/>
      <protection locked="0"/>
    </xf>
    <xf numFmtId="242" fontId="55" fillId="0" borderId="0"/>
    <xf numFmtId="242" fontId="56" fillId="0" borderId="0"/>
    <xf numFmtId="243" fontId="53" fillId="0" borderId="0" applyFont="0" applyFill="0" applyBorder="0" applyProtection="0">
      <alignment horizontal="left"/>
      <protection locked="0"/>
    </xf>
    <xf numFmtId="0" fontId="144" fillId="0" borderId="79" applyNumberFormat="0" applyFill="0" applyAlignment="0" applyProtection="0"/>
    <xf numFmtId="0" fontId="145" fillId="0" borderId="0" applyNumberFormat="0" applyFill="0" applyBorder="0" applyAlignment="0" applyProtection="0"/>
    <xf numFmtId="0" fontId="146" fillId="0" borderId="0"/>
    <xf numFmtId="167" fontId="146" fillId="0" borderId="0"/>
    <xf numFmtId="244" fontId="147" fillId="0" borderId="0"/>
    <xf numFmtId="245" fontId="16" fillId="0" borderId="0" applyFont="0" applyFill="0" applyBorder="0" applyAlignment="0" applyProtection="0"/>
    <xf numFmtId="0" fontId="16" fillId="0" borderId="0"/>
    <xf numFmtId="3" fontId="148" fillId="0" borderId="0" applyNumberFormat="0" applyFont="0" applyFill="0" applyBorder="0" applyAlignment="0" applyProtection="0">
      <alignment horizontal="left"/>
    </xf>
    <xf numFmtId="2" fontId="137" fillId="0" borderId="0" applyFont="0" applyFill="0" applyBorder="0" applyAlignment="0" applyProtection="0"/>
    <xf numFmtId="0" fontId="149" fillId="0" borderId="0" applyNumberFormat="0" applyFill="0" applyBorder="0" applyAlignment="0" applyProtection="0">
      <alignment vertical="top"/>
      <protection locked="0"/>
    </xf>
    <xf numFmtId="0" fontId="16" fillId="0" borderId="0"/>
    <xf numFmtId="0" fontId="150" fillId="0" borderId="0" applyFill="0" applyBorder="0" applyProtection="0">
      <alignment horizontal="left"/>
    </xf>
    <xf numFmtId="246" fontId="11" fillId="0" borderId="0" applyBorder="0" applyProtection="0"/>
    <xf numFmtId="237" fontId="55" fillId="0" borderId="80"/>
    <xf numFmtId="247" fontId="55" fillId="43" borderId="65">
      <alignment horizontal="right"/>
    </xf>
    <xf numFmtId="247" fontId="56" fillId="43" borderId="65">
      <alignment horizontal="right"/>
    </xf>
    <xf numFmtId="170" fontId="136" fillId="43" borderId="65">
      <alignment horizontal="right"/>
    </xf>
    <xf numFmtId="248" fontId="70" fillId="43" borderId="65">
      <alignment horizontal="right"/>
    </xf>
    <xf numFmtId="249" fontId="70" fillId="43" borderId="65">
      <alignment horizontal="right"/>
    </xf>
    <xf numFmtId="247" fontId="55" fillId="43" borderId="65">
      <alignment horizontal="right"/>
    </xf>
    <xf numFmtId="249" fontId="70" fillId="43" borderId="65">
      <alignment horizontal="right"/>
    </xf>
    <xf numFmtId="249" fontId="70" fillId="43" borderId="65">
      <alignment horizontal="right"/>
    </xf>
    <xf numFmtId="249" fontId="70" fillId="43" borderId="65">
      <alignment horizontal="right"/>
    </xf>
    <xf numFmtId="0" fontId="70" fillId="43" borderId="65">
      <alignment horizontal="right"/>
    </xf>
    <xf numFmtId="249" fontId="70" fillId="43" borderId="65">
      <alignment horizontal="right"/>
    </xf>
    <xf numFmtId="170" fontId="16" fillId="0" borderId="68" applyFont="0" applyFill="0" applyBorder="0" applyAlignment="0" applyProtection="0"/>
    <xf numFmtId="167" fontId="124" fillId="0" borderId="0" applyFont="0" applyFill="0" applyBorder="0" applyAlignment="0" applyProtection="0"/>
    <xf numFmtId="170" fontId="16" fillId="0" borderId="81" applyFont="0" applyFill="0" applyBorder="0" applyAlignment="0" applyProtection="0"/>
    <xf numFmtId="217" fontId="9" fillId="0" borderId="0" applyFill="0" applyBorder="0" applyAlignment="0" applyProtection="0">
      <protection locked="0"/>
    </xf>
    <xf numFmtId="38" fontId="10" fillId="43" borderId="0" applyNumberFormat="0" applyBorder="0" applyAlignment="0" applyProtection="0"/>
    <xf numFmtId="250" fontId="151" fillId="0" borderId="0" applyFill="0" applyBorder="0" applyAlignment="0" applyProtection="0"/>
    <xf numFmtId="250" fontId="152" fillId="0" borderId="0" applyAlignment="0">
      <alignment horizontal="left"/>
      <protection locked="0"/>
    </xf>
    <xf numFmtId="0" fontId="153" fillId="59" borderId="0" applyNumberFormat="0" applyBorder="0" applyAlignment="0" applyProtection="0"/>
    <xf numFmtId="2" fontId="84" fillId="60" borderId="0"/>
    <xf numFmtId="251" fontId="126" fillId="0" borderId="0" applyFont="0" applyFill="0" applyBorder="0" applyAlignment="0" applyProtection="0">
      <alignment horizontal="right"/>
    </xf>
    <xf numFmtId="0" fontId="154" fillId="0" borderId="0" applyFill="0" applyBorder="0" applyProtection="0">
      <alignment horizontal="center"/>
    </xf>
    <xf numFmtId="0" fontId="155" fillId="0" borderId="0" applyProtection="0">
      <alignment horizontal="right"/>
    </xf>
    <xf numFmtId="0" fontId="156" fillId="0" borderId="56" applyNumberFormat="0" applyAlignment="0" applyProtection="0">
      <alignment horizontal="left" vertical="center"/>
    </xf>
    <xf numFmtId="0" fontId="156" fillId="0" borderId="82">
      <alignment horizontal="left" vertical="center"/>
    </xf>
    <xf numFmtId="0" fontId="157" fillId="0" borderId="0" applyFill="0" applyBorder="0" applyProtection="0"/>
    <xf numFmtId="0" fontId="16" fillId="0" borderId="0" applyNumberFormat="0" applyFill="0" applyBorder="0" applyAlignment="0" applyProtection="0">
      <alignment horizontal="left"/>
    </xf>
    <xf numFmtId="252" fontId="53" fillId="0" borderId="0">
      <protection locked="0"/>
    </xf>
    <xf numFmtId="0" fontId="16" fillId="0" borderId="61" applyNumberFormat="0" applyFill="0" applyBorder="0" applyAlignment="0" applyProtection="0">
      <alignment horizontal="left"/>
    </xf>
    <xf numFmtId="0" fontId="158" fillId="0" borderId="83">
      <alignment horizontal="center"/>
      <protection hidden="1"/>
    </xf>
    <xf numFmtId="253" fontId="16" fillId="0" borderId="84" applyNumberFormat="0" applyFont="0" applyBorder="0" applyAlignment="0" applyProtection="0">
      <protection locked="0"/>
    </xf>
    <xf numFmtId="0" fontId="101" fillId="0" borderId="85" applyNumberFormat="0" applyFill="0" applyAlignment="0" applyProtection="0"/>
    <xf numFmtId="174" fontId="159" fillId="0" borderId="0" applyNumberFormat="0" applyFill="0" applyBorder="0" applyAlignment="0"/>
    <xf numFmtId="217" fontId="9" fillId="0" borderId="0" applyFill="0" applyBorder="0" applyAlignment="0" applyProtection="0">
      <alignment horizontal="right"/>
      <protection locked="0"/>
    </xf>
    <xf numFmtId="254" fontId="160" fillId="0" borderId="0" applyNumberFormat="0" applyFill="0" applyBorder="0" applyAlignment="0" applyProtection="0"/>
    <xf numFmtId="168" fontId="161" fillId="0" borderId="84" applyNumberFormat="0" applyFill="0" applyBorder="0" applyAlignment="0">
      <alignment horizontal="right"/>
      <protection locked="0"/>
    </xf>
    <xf numFmtId="174" fontId="159" fillId="0" borderId="0" applyNumberFormat="0" applyFill="0" applyBorder="0" applyAlignment="0">
      <protection locked="0"/>
    </xf>
    <xf numFmtId="10" fontId="10" fillId="61" borderId="86" applyNumberFormat="0" applyBorder="0" applyAlignment="0" applyProtection="0"/>
    <xf numFmtId="217" fontId="162" fillId="61" borderId="0" applyNumberFormat="0" applyBorder="0" applyAlignment="0">
      <protection locked="0"/>
    </xf>
    <xf numFmtId="10" fontId="163" fillId="0" borderId="0">
      <protection locked="0"/>
    </xf>
    <xf numFmtId="182" fontId="164" fillId="56" borderId="0">
      <alignment horizontal="right"/>
    </xf>
    <xf numFmtId="0" fontId="84" fillId="0" borderId="0" applyNumberFormat="0" applyFill="0" applyBorder="0" applyAlignment="0">
      <protection locked="0"/>
    </xf>
    <xf numFmtId="15" fontId="163" fillId="0" borderId="0">
      <protection locked="0"/>
    </xf>
    <xf numFmtId="2" fontId="163" fillId="0" borderId="68">
      <protection locked="0"/>
    </xf>
    <xf numFmtId="37" fontId="11" fillId="41" borderId="0"/>
    <xf numFmtId="37" fontId="156" fillId="41" borderId="0"/>
    <xf numFmtId="167" fontId="164" fillId="56" borderId="0">
      <alignment horizontal="right"/>
    </xf>
    <xf numFmtId="0" fontId="163" fillId="0" borderId="0">
      <protection locked="0"/>
    </xf>
    <xf numFmtId="0" fontId="16" fillId="0" borderId="0" applyFill="0" applyBorder="0">
      <alignment horizontal="right"/>
      <protection locked="0"/>
    </xf>
    <xf numFmtId="191" fontId="165" fillId="62" borderId="86" applyNumberFormat="0" applyAlignment="0">
      <alignment horizontal="right"/>
    </xf>
    <xf numFmtId="191" fontId="166" fillId="62" borderId="86" applyNumberFormat="0" applyAlignment="0">
      <alignment horizontal="right"/>
    </xf>
    <xf numFmtId="0" fontId="167" fillId="0" borderId="0"/>
    <xf numFmtId="255" fontId="16" fillId="0" borderId="0" applyFill="0" applyBorder="0">
      <alignment horizontal="right"/>
      <protection locked="0"/>
    </xf>
    <xf numFmtId="256" fontId="16" fillId="63" borderId="0" applyBorder="0"/>
    <xf numFmtId="0" fontId="51" fillId="64" borderId="87">
      <alignment horizontal="left" vertical="center" wrapText="1"/>
    </xf>
    <xf numFmtId="4" fontId="84" fillId="60" borderId="0"/>
    <xf numFmtId="217" fontId="168" fillId="0" borderId="0"/>
    <xf numFmtId="217" fontId="169" fillId="0" borderId="0"/>
    <xf numFmtId="257" fontId="16" fillId="0" borderId="0" applyFont="0" applyFill="0" applyBorder="0" applyAlignment="0" applyProtection="0"/>
    <xf numFmtId="258" fontId="16" fillId="0" borderId="0" applyFont="0" applyFill="0" applyBorder="0" applyAlignment="0" applyProtection="0"/>
    <xf numFmtId="1" fontId="170" fillId="1" borderId="54">
      <protection locked="0"/>
    </xf>
    <xf numFmtId="0" fontId="171" fillId="0" borderId="0" applyNumberFormat="0" applyFill="0" applyBorder="0" applyProtection="0">
      <alignment horizontal="left" vertical="center"/>
    </xf>
    <xf numFmtId="3" fontId="172" fillId="0" borderId="88" applyFill="0" applyBorder="0">
      <protection locked="0"/>
    </xf>
    <xf numFmtId="182" fontId="53" fillId="0" borderId="0" applyNumberFormat="0" applyAlignment="0">
      <alignment horizontal="left"/>
    </xf>
    <xf numFmtId="206" fontId="16" fillId="0" borderId="0" applyFill="0" applyBorder="0" applyAlignment="0"/>
    <xf numFmtId="207" fontId="16" fillId="0" borderId="0" applyFill="0" applyBorder="0" applyAlignment="0"/>
    <xf numFmtId="206" fontId="16" fillId="0" borderId="0" applyFill="0" applyBorder="0" applyAlignment="0"/>
    <xf numFmtId="211" fontId="16" fillId="0" borderId="0" applyFill="0" applyBorder="0" applyAlignment="0"/>
    <xf numFmtId="207" fontId="16" fillId="0" borderId="0" applyFill="0" applyBorder="0" applyAlignment="0"/>
    <xf numFmtId="37" fontId="173" fillId="0" borderId="0" applyNumberFormat="0" applyFill="0" applyBorder="0" applyAlignment="0" applyProtection="0">
      <alignment horizontal="right"/>
    </xf>
    <xf numFmtId="259" fontId="55" fillId="0" borderId="0">
      <alignment horizontal="right"/>
    </xf>
    <xf numFmtId="259" fontId="56" fillId="0" borderId="0">
      <alignment horizontal="right"/>
    </xf>
    <xf numFmtId="260" fontId="55" fillId="58" borderId="0">
      <alignment horizontal="right"/>
    </xf>
    <xf numFmtId="260" fontId="56" fillId="58" borderId="0">
      <alignment horizontal="right"/>
    </xf>
    <xf numFmtId="261" fontId="136" fillId="0" borderId="0">
      <alignment horizontal="right"/>
    </xf>
    <xf numFmtId="262" fontId="70" fillId="0" borderId="0">
      <alignment horizontal="right"/>
    </xf>
    <xf numFmtId="263" fontId="70" fillId="0" borderId="0">
      <alignment horizontal="right"/>
    </xf>
    <xf numFmtId="259" fontId="55" fillId="0" borderId="0">
      <alignment horizontal="right"/>
    </xf>
    <xf numFmtId="263" fontId="70" fillId="0" borderId="0">
      <alignment horizontal="right"/>
    </xf>
    <xf numFmtId="263" fontId="70" fillId="0" borderId="0">
      <alignment horizontal="right"/>
    </xf>
    <xf numFmtId="263" fontId="70" fillId="0" borderId="0">
      <alignment horizontal="right"/>
    </xf>
    <xf numFmtId="0" fontId="70" fillId="0" borderId="0">
      <alignment horizontal="right"/>
    </xf>
    <xf numFmtId="263" fontId="70" fillId="0" borderId="0">
      <alignment horizontal="right"/>
    </xf>
    <xf numFmtId="0" fontId="174" fillId="0" borderId="68">
      <alignment horizontal="left"/>
      <protection locked="0"/>
    </xf>
    <xf numFmtId="0" fontId="175" fillId="0" borderId="0" applyNumberFormat="0" applyAlignment="0"/>
    <xf numFmtId="0" fontId="16" fillId="0" borderId="88"/>
    <xf numFmtId="0" fontId="175" fillId="0" borderId="73"/>
    <xf numFmtId="181" fontId="176" fillId="0" borderId="0" applyFill="0" applyBorder="0" applyAlignment="0" applyProtection="0"/>
    <xf numFmtId="40" fontId="70" fillId="0" borderId="0" applyFont="0" applyFill="0" applyBorder="0" applyAlignment="0" applyProtection="0"/>
    <xf numFmtId="0" fontId="177" fillId="0" borderId="0" applyBorder="0"/>
    <xf numFmtId="38" fontId="70" fillId="0" borderId="0" applyFont="0" applyFill="0" applyBorder="0" applyAlignment="0" applyProtection="0"/>
    <xf numFmtId="40" fontId="70" fillId="0" borderId="0" applyFont="0" applyFill="0" applyBorder="0" applyAlignment="0" applyProtection="0"/>
    <xf numFmtId="182" fontId="51" fillId="0" borderId="82" applyFont="0" applyFill="0" applyBorder="0" applyAlignment="0" applyProtection="0">
      <alignment horizontal="center"/>
    </xf>
    <xf numFmtId="167" fontId="16" fillId="0" borderId="0"/>
    <xf numFmtId="166" fontId="16" fillId="58" borderId="0"/>
    <xf numFmtId="264" fontId="55" fillId="58" borderId="65">
      <alignment horizontal="right"/>
    </xf>
    <xf numFmtId="264" fontId="56" fillId="58" borderId="65">
      <alignment horizontal="right"/>
    </xf>
    <xf numFmtId="265" fontId="16" fillId="56" borderId="0" applyFill="0" applyBorder="0"/>
    <xf numFmtId="235" fontId="10" fillId="0" borderId="0" applyFont="0" applyFill="0" applyBorder="0" applyAlignment="0" applyProtection="0"/>
    <xf numFmtId="266" fontId="10" fillId="0" borderId="0" applyFont="0" applyFill="0" applyBorder="0" applyAlignment="0" applyProtection="0"/>
    <xf numFmtId="193" fontId="53" fillId="0" borderId="0" applyFont="0" applyFill="0" applyBorder="0" applyAlignment="0" applyProtection="0"/>
    <xf numFmtId="252" fontId="53" fillId="0" borderId="0" applyFont="0" applyFill="0" applyBorder="0" applyAlignment="0" applyProtection="0"/>
    <xf numFmtId="170" fontId="63" fillId="0" borderId="0" applyFill="0" applyBorder="0" applyProtection="0">
      <alignment horizontal="center"/>
    </xf>
    <xf numFmtId="267" fontId="9" fillId="0" borderId="0" applyFont="0" applyFill="0" applyBorder="0" applyAlignment="0" applyProtection="0"/>
    <xf numFmtId="268" fontId="53" fillId="0" borderId="0" applyFont="0" applyFill="0" applyBorder="0" applyAlignment="0" applyProtection="0">
      <alignment horizontal="right"/>
    </xf>
    <xf numFmtId="170" fontId="16" fillId="0" borderId="0"/>
    <xf numFmtId="0" fontId="70" fillId="65" borderId="89">
      <protection hidden="1"/>
    </xf>
    <xf numFmtId="0" fontId="16" fillId="0" borderId="0" applyNumberFormat="0" applyFont="0" applyFill="0" applyBorder="0" applyAlignment="0" applyProtection="0"/>
    <xf numFmtId="269" fontId="178" fillId="0" borderId="90" applyBorder="0" applyAlignment="0" applyProtection="0">
      <alignment horizontal="center"/>
    </xf>
    <xf numFmtId="0" fontId="179" fillId="40" borderId="0" applyNumberFormat="0" applyBorder="0" applyAlignment="0" applyProtection="0"/>
    <xf numFmtId="0" fontId="180" fillId="66" borderId="0"/>
    <xf numFmtId="0" fontId="103" fillId="67" borderId="0"/>
    <xf numFmtId="0" fontId="181" fillId="0" borderId="0"/>
    <xf numFmtId="37" fontId="182" fillId="0" borderId="0"/>
    <xf numFmtId="166" fontId="16" fillId="56" borderId="0"/>
    <xf numFmtId="0" fontId="64" fillId="68" borderId="0" applyNumberFormat="0" applyBorder="0" applyAlignment="0">
      <alignment horizontal="right"/>
      <protection hidden="1"/>
    </xf>
    <xf numFmtId="270" fontId="183" fillId="0" borderId="0"/>
    <xf numFmtId="217" fontId="16" fillId="0" borderId="0" applyFont="0" applyFill="0" applyBorder="0" applyAlignment="0"/>
    <xf numFmtId="40" fontId="10" fillId="0" borderId="0" applyFont="0" applyFill="0" applyBorder="0" applyAlignment="0"/>
    <xf numFmtId="196" fontId="10" fillId="0" borderId="0" applyFont="0" applyFill="0" applyBorder="0" applyAlignment="0"/>
    <xf numFmtId="0" fontId="16" fillId="0" borderId="0"/>
    <xf numFmtId="0" fontId="16" fillId="0" borderId="0"/>
    <xf numFmtId="0" fontId="9" fillId="0" borderId="0"/>
    <xf numFmtId="0" fontId="15" fillId="0" borderId="0"/>
    <xf numFmtId="0" fontId="2" fillId="0" borderId="0"/>
    <xf numFmtId="0" fontId="2" fillId="0" borderId="0"/>
    <xf numFmtId="0" fontId="2" fillId="0" borderId="0"/>
    <xf numFmtId="217" fontId="11" fillId="0" borderId="0" applyNumberFormat="0" applyFill="0" applyBorder="0" applyAlignment="0" applyProtection="0"/>
    <xf numFmtId="271" fontId="16" fillId="0" borderId="91" applyBorder="0">
      <alignment vertical="center"/>
    </xf>
    <xf numFmtId="232" fontId="184" fillId="0" borderId="0" applyBorder="0">
      <alignment vertical="center"/>
    </xf>
    <xf numFmtId="272" fontId="184" fillId="0" borderId="0">
      <alignment vertical="center"/>
    </xf>
    <xf numFmtId="0" fontId="72" fillId="0" borderId="0"/>
    <xf numFmtId="0" fontId="168" fillId="0" borderId="0"/>
    <xf numFmtId="0" fontId="70" fillId="0" borderId="0"/>
    <xf numFmtId="37" fontId="185" fillId="0" borderId="0" applyNumberFormat="0" applyFont="0" applyFill="0" applyBorder="0" applyAlignment="0" applyProtection="0"/>
    <xf numFmtId="0" fontId="186" fillId="0" borderId="68"/>
    <xf numFmtId="0" fontId="16" fillId="38" borderId="92" applyNumberFormat="0" applyFont="0" applyAlignment="0" applyProtection="0"/>
    <xf numFmtId="3" fontId="64" fillId="0" borderId="77" applyBorder="0"/>
    <xf numFmtId="273" fontId="136"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273" fontId="136" fillId="0" borderId="0" applyNumberFormat="0" applyFill="0" applyBorder="0" applyAlignment="0" applyProtection="0"/>
    <xf numFmtId="273" fontId="136" fillId="0" borderId="0" applyNumberFormat="0" applyFill="0" applyBorder="0" applyAlignment="0" applyProtection="0"/>
    <xf numFmtId="273" fontId="136" fillId="0" borderId="0" applyNumberFormat="0" applyFill="0" applyBorder="0" applyAlignment="0" applyProtection="0"/>
    <xf numFmtId="274" fontId="136" fillId="0" borderId="0" applyNumberFormat="0" applyFill="0" applyBorder="0" applyAlignment="0" applyProtection="0"/>
    <xf numFmtId="275" fontId="187" fillId="0" borderId="0" applyFont="0" applyFill="0" applyBorder="0" applyAlignment="0" applyProtection="0"/>
    <xf numFmtId="166" fontId="53" fillId="0" borderId="0" applyFont="0" applyFill="0" applyBorder="0" applyAlignment="0" applyProtection="0"/>
    <xf numFmtId="164" fontId="53" fillId="0" borderId="0" applyFont="0" applyFill="0" applyBorder="0" applyAlignment="0" applyProtection="0"/>
    <xf numFmtId="168" fontId="16" fillId="0" borderId="0"/>
    <xf numFmtId="0" fontId="188" fillId="0" borderId="0">
      <alignment horizontal="left"/>
    </xf>
    <xf numFmtId="0" fontId="189" fillId="61" borderId="0">
      <alignment horizontal="right"/>
    </xf>
    <xf numFmtId="37" fontId="101" fillId="0" borderId="75">
      <protection locked="0"/>
    </xf>
    <xf numFmtId="0" fontId="72" fillId="0" borderId="0">
      <alignment vertical="center"/>
    </xf>
    <xf numFmtId="0" fontId="190" fillId="0" borderId="0" applyFill="0" applyBorder="0" applyProtection="0">
      <alignment horizontal="left"/>
    </xf>
    <xf numFmtId="0" fontId="191" fillId="0" borderId="0" applyFill="0" applyBorder="0" applyProtection="0">
      <alignment horizontal="left"/>
    </xf>
    <xf numFmtId="1" fontId="192" fillId="0" borderId="0" applyProtection="0">
      <alignment horizontal="right" vertical="center"/>
    </xf>
    <xf numFmtId="0" fontId="193" fillId="0" borderId="93" applyNumberFormat="0" applyAlignment="0" applyProtection="0"/>
    <xf numFmtId="0" fontId="53" fillId="46" borderId="0" applyNumberFormat="0" applyFont="0" applyBorder="0" applyAlignment="0" applyProtection="0"/>
    <xf numFmtId="0" fontId="10" fillId="68" borderId="68" applyNumberFormat="0" applyFont="0" applyBorder="0" applyAlignment="0" applyProtection="0">
      <alignment horizontal="center"/>
    </xf>
    <xf numFmtId="0" fontId="10" fillId="50" borderId="68" applyNumberFormat="0" applyFont="0" applyBorder="0" applyAlignment="0" applyProtection="0">
      <alignment horizontal="center"/>
    </xf>
    <xf numFmtId="0" fontId="53" fillId="0" borderId="94" applyNumberFormat="0" applyAlignment="0" applyProtection="0"/>
    <xf numFmtId="0" fontId="53" fillId="0" borderId="95" applyNumberFormat="0" applyAlignment="0" applyProtection="0"/>
    <xf numFmtId="0" fontId="193" fillId="0" borderId="96" applyNumberFormat="0" applyAlignment="0" applyProtection="0"/>
    <xf numFmtId="197" fontId="194" fillId="0" borderId="1">
      <alignment vertical="center"/>
    </xf>
    <xf numFmtId="276" fontId="55" fillId="58" borderId="0"/>
    <xf numFmtId="276" fontId="56" fillId="58" borderId="0"/>
    <xf numFmtId="277" fontId="55" fillId="0" borderId="0"/>
    <xf numFmtId="277" fontId="56" fillId="0" borderId="0"/>
    <xf numFmtId="278" fontId="16" fillId="0" borderId="0"/>
    <xf numFmtId="0" fontId="70" fillId="0" borderId="0" applyFont="0" applyFill="0" applyBorder="0" applyAlignment="0" applyProtection="0"/>
    <xf numFmtId="279" fontId="16" fillId="0" borderId="0" applyFont="0" applyFill="0" applyBorder="0" applyAlignment="0" applyProtection="0"/>
    <xf numFmtId="280" fontId="159" fillId="0" borderId="0" applyFont="0" applyFill="0" applyBorder="0" applyAlignment="0" applyProtection="0"/>
    <xf numFmtId="10" fontId="16" fillId="0" borderId="0" applyFont="0" applyFill="0" applyBorder="0" applyAlignment="0" applyProtection="0"/>
    <xf numFmtId="281" fontId="132" fillId="0" borderId="1" applyFont="0" applyFill="0" applyBorder="0" applyProtection="0">
      <alignment horizontal="right"/>
      <protection locked="0"/>
    </xf>
    <xf numFmtId="167" fontId="9" fillId="0" borderId="0" applyFill="0" applyBorder="0">
      <alignment horizontal="right"/>
    </xf>
    <xf numFmtId="9" fontId="16" fillId="0" borderId="0" applyFont="0" applyFill="0" applyBorder="0" applyAlignment="0" applyProtection="0"/>
    <xf numFmtId="9" fontId="2" fillId="0" borderId="0" applyFont="0" applyFill="0" applyBorder="0" applyAlignment="0" applyProtection="0"/>
    <xf numFmtId="9" fontId="16" fillId="0" borderId="0" applyFont="0" applyFill="0" applyBorder="0" applyAlignment="0" applyProtection="0"/>
    <xf numFmtId="9" fontId="2" fillId="0" borderId="0" applyFont="0" applyFill="0" applyBorder="0" applyAlignment="0" applyProtection="0"/>
    <xf numFmtId="282" fontId="9" fillId="0" borderId="0" applyFont="0" applyFill="0" applyBorder="0" applyProtection="0">
      <alignment horizontal="right"/>
    </xf>
    <xf numFmtId="283" fontId="124" fillId="0" borderId="0" applyFont="0" applyFill="0" applyBorder="0" applyAlignment="0" applyProtection="0"/>
    <xf numFmtId="283" fontId="94" fillId="0" borderId="0" applyFont="0" applyFill="0" applyBorder="0" applyAlignment="0" applyProtection="0"/>
    <xf numFmtId="167" fontId="9" fillId="0" borderId="0" applyFill="0" applyBorder="0" applyProtection="0">
      <alignment horizontal="right"/>
    </xf>
    <xf numFmtId="167" fontId="195" fillId="0" borderId="0" applyFill="0" applyBorder="0" applyProtection="0">
      <alignment horizontal="right"/>
    </xf>
    <xf numFmtId="10" fontId="9" fillId="0" borderId="0" applyFill="0" applyBorder="0" applyAlignment="0" applyProtection="0"/>
    <xf numFmtId="167" fontId="16" fillId="0" borderId="0" applyFont="0" applyFill="0" applyBorder="0" applyAlignment="0" applyProtection="0"/>
    <xf numFmtId="284" fontId="168" fillId="0" borderId="0"/>
    <xf numFmtId="284" fontId="169" fillId="0" borderId="0"/>
    <xf numFmtId="285" fontId="124" fillId="0" borderId="0" applyFont="0" applyFill="0" applyBorder="0" applyAlignment="0" applyProtection="0"/>
    <xf numFmtId="285" fontId="94" fillId="0" borderId="0" applyFont="0" applyFill="0" applyBorder="0" applyAlignment="0" applyProtection="0"/>
    <xf numFmtId="10" fontId="10" fillId="0" borderId="0"/>
    <xf numFmtId="286" fontId="16" fillId="0" borderId="0" applyFill="0" applyBorder="0">
      <alignment horizontal="right"/>
      <protection locked="0"/>
    </xf>
    <xf numFmtId="250" fontId="9" fillId="0" borderId="0" applyFont="0" applyFill="0" applyBorder="0" applyAlignment="0" applyProtection="0"/>
    <xf numFmtId="189" fontId="9" fillId="0" borderId="0" applyFont="0" applyFill="0" applyBorder="0" applyAlignment="0" applyProtection="0"/>
    <xf numFmtId="217" fontId="9" fillId="0" borderId="0" applyFont="0" applyFill="0" applyBorder="0" applyAlignment="0" applyProtection="0">
      <protection locked="0"/>
    </xf>
    <xf numFmtId="0" fontId="16" fillId="0" borderId="0"/>
    <xf numFmtId="287" fontId="196" fillId="0" borderId="0">
      <alignment horizontal="centerContinuous"/>
    </xf>
    <xf numFmtId="287" fontId="197" fillId="0" borderId="0">
      <alignment horizontal="centerContinuous"/>
    </xf>
    <xf numFmtId="288" fontId="133" fillId="0" borderId="0">
      <alignment horizontal="centerContinuous"/>
    </xf>
    <xf numFmtId="288" fontId="134" fillId="0" borderId="0">
      <alignment horizontal="centerContinuous"/>
    </xf>
    <xf numFmtId="206" fontId="16" fillId="0" borderId="0" applyFill="0" applyBorder="0" applyAlignment="0"/>
    <xf numFmtId="207" fontId="16" fillId="0" borderId="0" applyFill="0" applyBorder="0" applyAlignment="0"/>
    <xf numFmtId="206" fontId="16" fillId="0" borderId="0" applyFill="0" applyBorder="0" applyAlignment="0"/>
    <xf numFmtId="211" fontId="16" fillId="0" borderId="0" applyFill="0" applyBorder="0" applyAlignment="0"/>
    <xf numFmtId="207" fontId="16" fillId="0" borderId="0" applyFill="0" applyBorder="0" applyAlignment="0"/>
    <xf numFmtId="217" fontId="9" fillId="0" borderId="0" applyFill="0" applyBorder="0" applyAlignment="0" applyProtection="0"/>
    <xf numFmtId="38" fontId="9" fillId="0" borderId="0" applyFont="0" applyFill="0" applyBorder="0" applyAlignment="0" applyProtection="0"/>
    <xf numFmtId="189" fontId="198" fillId="0" borderId="57">
      <alignment horizontal="right"/>
    </xf>
    <xf numFmtId="0" fontId="103" fillId="69" borderId="0" applyNumberFormat="0" applyBorder="0" applyAlignment="0" applyProtection="0"/>
    <xf numFmtId="168" fontId="113" fillId="0" borderId="0"/>
    <xf numFmtId="37" fontId="101" fillId="0" borderId="0">
      <protection locked="0"/>
    </xf>
    <xf numFmtId="0" fontId="199" fillId="0" borderId="0"/>
    <xf numFmtId="0" fontId="199" fillId="0" borderId="61">
      <alignment horizontal="right"/>
    </xf>
    <xf numFmtId="193" fontId="166" fillId="70" borderId="86">
      <alignment horizontal="right"/>
    </xf>
    <xf numFmtId="266" fontId="53" fillId="0" borderId="0">
      <alignment horizontal="center"/>
    </xf>
    <xf numFmtId="266" fontId="53" fillId="0" borderId="0">
      <alignment horizontal="center"/>
    </xf>
    <xf numFmtId="0" fontId="70" fillId="0" borderId="0" applyNumberFormat="0" applyFont="0" applyFill="0" applyBorder="0" applyAlignment="0" applyProtection="0">
      <alignment horizontal="left"/>
    </xf>
    <xf numFmtId="15" fontId="70" fillId="0" borderId="0" applyFont="0" applyFill="0" applyBorder="0" applyAlignment="0" applyProtection="0"/>
    <xf numFmtId="4" fontId="70" fillId="0" borderId="0" applyFont="0" applyFill="0" applyBorder="0" applyAlignment="0" applyProtection="0"/>
    <xf numFmtId="0" fontId="200" fillId="0" borderId="60">
      <alignment horizontal="center"/>
    </xf>
    <xf numFmtId="3" fontId="70" fillId="0" borderId="0" applyFont="0" applyFill="0" applyBorder="0" applyAlignment="0" applyProtection="0"/>
    <xf numFmtId="0" fontId="70" fillId="71" borderId="0" applyNumberFormat="0" applyFont="0" applyBorder="0" applyAlignment="0" applyProtection="0"/>
    <xf numFmtId="0" fontId="16" fillId="0" borderId="0">
      <alignment horizontal="right"/>
    </xf>
    <xf numFmtId="289" fontId="55" fillId="43" borderId="0"/>
    <xf numFmtId="289" fontId="56" fillId="43" borderId="0"/>
    <xf numFmtId="290" fontId="136" fillId="43" borderId="0"/>
    <xf numFmtId="291" fontId="70" fillId="43" borderId="0"/>
    <xf numFmtId="292" fontId="70" fillId="43" borderId="0"/>
    <xf numFmtId="289" fontId="55" fillId="43" borderId="0"/>
    <xf numFmtId="292" fontId="70" fillId="43" borderId="0"/>
    <xf numFmtId="292" fontId="70" fillId="43" borderId="0"/>
    <xf numFmtId="292" fontId="70" fillId="43" borderId="0"/>
    <xf numFmtId="0" fontId="70" fillId="43" borderId="0"/>
    <xf numFmtId="292" fontId="70" fillId="43" borderId="0"/>
    <xf numFmtId="0" fontId="9" fillId="0" borderId="0" applyFill="0" applyBorder="0" applyProtection="0">
      <alignment horizontal="center"/>
    </xf>
    <xf numFmtId="0" fontId="201" fillId="0" borderId="0">
      <alignment horizontal="center"/>
    </xf>
    <xf numFmtId="0" fontId="55" fillId="0" borderId="1">
      <alignment horizontal="centerContinuous"/>
    </xf>
    <xf numFmtId="0" fontId="56" fillId="0" borderId="1">
      <alignment horizontal="centerContinuous"/>
    </xf>
    <xf numFmtId="182" fontId="53" fillId="0" borderId="0">
      <alignment vertical="top"/>
    </xf>
    <xf numFmtId="182" fontId="53" fillId="0" borderId="0">
      <alignment vertical="top"/>
    </xf>
    <xf numFmtId="293" fontId="55" fillId="43" borderId="65">
      <alignment horizontal="right"/>
    </xf>
    <xf numFmtId="293" fontId="56" fillId="43" borderId="65">
      <alignment horizontal="right"/>
    </xf>
    <xf numFmtId="294" fontId="70" fillId="0" borderId="0" applyFill="0" applyBorder="0">
      <alignment horizontal="right"/>
      <protection locked="0"/>
    </xf>
    <xf numFmtId="295" fontId="16" fillId="0" borderId="0">
      <alignment horizontal="right"/>
      <protection locked="0"/>
    </xf>
    <xf numFmtId="0" fontId="202" fillId="0" borderId="68" applyNumberFormat="0" applyFill="0" applyBorder="0" applyAlignment="0" applyProtection="0">
      <protection hidden="1"/>
    </xf>
    <xf numFmtId="49" fontId="64" fillId="0" borderId="0">
      <alignment horizontal="right"/>
    </xf>
    <xf numFmtId="217" fontId="57" fillId="0" borderId="0" applyFont="0" applyFill="0" applyBorder="0" applyAlignment="0" applyProtection="0"/>
    <xf numFmtId="0" fontId="171" fillId="0" borderId="0" applyNumberFormat="0" applyFill="0" applyBorder="0" applyProtection="0">
      <alignment horizontal="right" vertical="center"/>
    </xf>
    <xf numFmtId="0" fontId="203" fillId="0" borderId="0" applyNumberFormat="0" applyFill="0" applyBorder="0" applyProtection="0">
      <alignment horizontal="right" vertical="center"/>
    </xf>
    <xf numFmtId="0" fontId="16" fillId="0" borderId="0">
      <alignment horizontal="right"/>
    </xf>
    <xf numFmtId="0" fontId="16" fillId="0" borderId="0">
      <alignment horizontal="right"/>
    </xf>
    <xf numFmtId="0" fontId="16" fillId="0" borderId="0" applyFill="0" applyBorder="0" applyProtection="0">
      <alignment horizontal="right"/>
    </xf>
    <xf numFmtId="0" fontId="16" fillId="0" borderId="0">
      <alignment horizontal="right"/>
    </xf>
    <xf numFmtId="0" fontId="21" fillId="0" borderId="0" applyNumberFormat="0" applyFill="0" applyBorder="0" applyAlignment="0" applyProtection="0"/>
    <xf numFmtId="0" fontId="204" fillId="72" borderId="0" applyFont="0" applyFill="0" applyAlignment="0"/>
    <xf numFmtId="0" fontId="53" fillId="0" borderId="0" applyNumberFormat="0" applyFont="0" applyFill="0" applyBorder="0" applyAlignment="0" applyProtection="0">
      <alignment horizontal="left" indent="1"/>
    </xf>
    <xf numFmtId="0" fontId="205" fillId="0" borderId="0" applyNumberFormat="0" applyFont="0" applyFill="0" applyBorder="0" applyAlignment="0" applyProtection="0">
      <alignment horizontal="center"/>
    </xf>
    <xf numFmtId="0" fontId="206" fillId="0" borderId="0" applyNumberFormat="0" applyFont="0" applyFill="0" applyBorder="0" applyAlignment="0" applyProtection="0">
      <alignment horizontal="left"/>
    </xf>
    <xf numFmtId="0" fontId="53" fillId="0" borderId="0" applyNumberFormat="0" applyFont="0" applyFill="0" applyBorder="0" applyAlignment="0" applyProtection="0">
      <alignment horizontal="left"/>
    </xf>
    <xf numFmtId="0" fontId="16" fillId="0" borderId="0" applyNumberFormat="0" applyFont="0" applyFill="0" applyBorder="0" applyAlignment="0" applyProtection="0"/>
    <xf numFmtId="2" fontId="109" fillId="0" borderId="0" applyNumberFormat="0" applyFont="0" applyFill="0" applyBorder="0" applyAlignment="0" applyProtection="0">
      <alignment horizontal="right"/>
    </xf>
    <xf numFmtId="0" fontId="16" fillId="48" borderId="0" applyNumberFormat="0" applyFont="0" applyBorder="0" applyAlignment="0" applyProtection="0"/>
    <xf numFmtId="0" fontId="16" fillId="48" borderId="0" applyNumberFormat="0" applyFont="0" applyBorder="0" applyAlignment="0" applyProtection="0"/>
    <xf numFmtId="0" fontId="54" fillId="0" borderId="97">
      <alignment horizontal="centerContinuous"/>
    </xf>
    <xf numFmtId="182" fontId="54" fillId="0" borderId="0"/>
    <xf numFmtId="0" fontId="54" fillId="0" borderId="97">
      <protection locked="0"/>
    </xf>
    <xf numFmtId="0" fontId="54" fillId="0" borderId="97">
      <protection locked="0"/>
    </xf>
    <xf numFmtId="0" fontId="54" fillId="0" borderId="97">
      <protection locked="0"/>
    </xf>
    <xf numFmtId="182" fontId="54" fillId="0" borderId="0"/>
    <xf numFmtId="182" fontId="54" fillId="0" borderId="0"/>
    <xf numFmtId="0" fontId="54" fillId="0" borderId="0"/>
    <xf numFmtId="0" fontId="54" fillId="0" borderId="97">
      <alignment horizontal="centerContinuous"/>
    </xf>
    <xf numFmtId="0" fontId="54" fillId="0" borderId="97">
      <alignment horizontal="centerContinuous"/>
    </xf>
    <xf numFmtId="0" fontId="54" fillId="0" borderId="97">
      <alignment horizontal="centerContinuous"/>
    </xf>
    <xf numFmtId="0" fontId="54" fillId="0" borderId="97">
      <alignment horizontal="centerContinuous"/>
    </xf>
    <xf numFmtId="0" fontId="207" fillId="0" borderId="98">
      <alignment vertical="center"/>
    </xf>
    <xf numFmtId="0" fontId="208" fillId="73" borderId="0" applyNumberFormat="0" applyBorder="0" applyAlignment="0" applyProtection="0"/>
    <xf numFmtId="296" fontId="16" fillId="0" borderId="0" applyFill="0" applyBorder="0">
      <alignment horizontal="right"/>
      <protection hidden="1"/>
    </xf>
    <xf numFmtId="0" fontId="158" fillId="0" borderId="71">
      <alignment horizontal="left" wrapText="1"/>
      <protection hidden="1"/>
    </xf>
    <xf numFmtId="0" fontId="173" fillId="0" borderId="78">
      <alignment horizontal="right" wrapText="1"/>
      <protection hidden="1"/>
    </xf>
    <xf numFmtId="0" fontId="158" fillId="0" borderId="71">
      <alignment wrapText="1"/>
      <protection hidden="1"/>
    </xf>
    <xf numFmtId="0" fontId="209" fillId="0" borderId="71">
      <alignment wrapText="1"/>
      <protection hidden="1"/>
    </xf>
    <xf numFmtId="0" fontId="70" fillId="0" borderId="78">
      <alignment horizontal="center"/>
      <protection hidden="1"/>
    </xf>
    <xf numFmtId="0" fontId="210" fillId="74" borderId="0"/>
    <xf numFmtId="0" fontId="156" fillId="55" borderId="86">
      <alignment horizontal="center" vertical="center" wrapText="1"/>
      <protection hidden="1"/>
    </xf>
    <xf numFmtId="0" fontId="70" fillId="0" borderId="78">
      <protection locked="0"/>
    </xf>
    <xf numFmtId="0" fontId="211" fillId="0" borderId="78">
      <protection hidden="1"/>
    </xf>
    <xf numFmtId="0" fontId="212" fillId="0" borderId="78">
      <alignment wrapText="1"/>
      <protection hidden="1"/>
    </xf>
    <xf numFmtId="0" fontId="173" fillId="0" borderId="78">
      <protection hidden="1"/>
    </xf>
    <xf numFmtId="164" fontId="10" fillId="0" borderId="0" applyFont="0" applyFill="0" applyBorder="0" applyAlignment="0" applyProtection="0"/>
    <xf numFmtId="166" fontId="10" fillId="0" borderId="0" applyFont="0" applyFill="0" applyBorder="0" applyAlignment="0" applyProtection="0"/>
    <xf numFmtId="0" fontId="70" fillId="0" borderId="78">
      <protection locked="0"/>
    </xf>
    <xf numFmtId="0" fontId="53" fillId="67" borderId="0" applyNumberFormat="0" applyFont="0" applyBorder="0" applyAlignment="0" applyProtection="0"/>
    <xf numFmtId="196" fontId="9" fillId="0" borderId="0" applyFill="0" applyBorder="0" applyAlignment="0" applyProtection="0">
      <protection locked="0"/>
    </xf>
    <xf numFmtId="0" fontId="213" fillId="0" borderId="99">
      <alignment horizontal="center" vertical="center" wrapText="1"/>
      <protection hidden="1"/>
    </xf>
    <xf numFmtId="183" fontId="214" fillId="0" borderId="0">
      <alignment horizontal="left"/>
    </xf>
    <xf numFmtId="235" fontId="108" fillId="0" borderId="0" applyFill="0" applyBorder="0" applyAlignment="0" applyProtection="0"/>
    <xf numFmtId="3" fontId="10" fillId="0" borderId="0"/>
    <xf numFmtId="0" fontId="158" fillId="0" borderId="71">
      <alignment horizontal="left" wrapText="1"/>
      <protection locked="0"/>
    </xf>
    <xf numFmtId="0" fontId="59" fillId="0" borderId="78">
      <alignment horizontal="right" wrapText="1"/>
      <protection locked="0"/>
    </xf>
    <xf numFmtId="0" fontId="215" fillId="0" borderId="78">
      <protection hidden="1"/>
    </xf>
    <xf numFmtId="0" fontId="216" fillId="0" borderId="78">
      <protection hidden="1"/>
    </xf>
    <xf numFmtId="0" fontId="217" fillId="0" borderId="78">
      <alignment wrapText="1"/>
      <protection hidden="1"/>
    </xf>
    <xf numFmtId="0" fontId="218" fillId="0" borderId="78">
      <protection hidden="1"/>
    </xf>
    <xf numFmtId="1" fontId="53" fillId="0" borderId="0" applyBorder="0">
      <alignment horizontal="left" vertical="top" wrapText="1"/>
    </xf>
    <xf numFmtId="1" fontId="53" fillId="0" borderId="0" applyBorder="0">
      <alignment horizontal="left" vertical="top" wrapText="1"/>
    </xf>
    <xf numFmtId="0" fontId="82" fillId="0" borderId="0"/>
    <xf numFmtId="0" fontId="158" fillId="0" borderId="71">
      <alignment wrapText="1"/>
      <protection hidden="1"/>
    </xf>
    <xf numFmtId="0" fontId="97" fillId="66" borderId="0" applyNumberFormat="0" applyBorder="0" applyAlignment="0" applyProtection="0"/>
    <xf numFmtId="0" fontId="16" fillId="0" borderId="0" applyNumberFormat="0" applyFont="0" applyFill="0" applyBorder="0" applyAlignment="0" applyProtection="0"/>
    <xf numFmtId="0" fontId="97" fillId="75" borderId="0" applyNumberFormat="0" applyBorder="0" applyAlignment="0" applyProtection="0"/>
    <xf numFmtId="0" fontId="97" fillId="75" borderId="0" applyNumberFormat="0" applyBorder="0" applyAlignment="0" applyProtection="0"/>
    <xf numFmtId="3" fontId="16" fillId="0" borderId="0" applyNumberFormat="0" applyFont="0" applyFill="0" applyBorder="0" applyAlignment="0" applyProtection="0"/>
    <xf numFmtId="3" fontId="16" fillId="0" borderId="0" applyNumberFormat="0" applyFont="0" applyFill="0" applyBorder="0" applyAlignment="0" applyProtection="0"/>
    <xf numFmtId="0" fontId="97" fillId="76" borderId="0" applyNumberFormat="0" applyBorder="0" applyAlignment="0" applyProtection="0"/>
    <xf numFmtId="0" fontId="97" fillId="76" borderId="0" applyNumberFormat="0" applyBorder="0" applyAlignment="0" applyProtection="0"/>
    <xf numFmtId="3" fontId="16" fillId="0" borderId="0" applyNumberFormat="0" applyFont="0" applyFill="0" applyBorder="0" applyAlignment="0" applyProtection="0"/>
    <xf numFmtId="3" fontId="16" fillId="0" borderId="0" applyNumberFormat="0" applyFont="0" applyFill="0" applyBorder="0" applyAlignment="0" applyProtection="0"/>
    <xf numFmtId="0" fontId="16" fillId="77" borderId="0" applyNumberFormat="0" applyBorder="0" applyAlignment="0" applyProtection="0"/>
    <xf numFmtId="0" fontId="16" fillId="77" borderId="0" applyNumberFormat="0" applyBorder="0" applyAlignment="0" applyProtection="0"/>
    <xf numFmtId="0" fontId="97" fillId="77" borderId="0" applyNumberFormat="0" applyBorder="0" applyAlignment="0" applyProtection="0"/>
    <xf numFmtId="3" fontId="16" fillId="0" borderId="0" applyNumberFormat="0" applyFont="0" applyFill="0" applyBorder="0" applyAlignment="0" applyProtection="0"/>
    <xf numFmtId="3" fontId="16" fillId="0" borderId="0" applyNumberFormat="0" applyFont="0" applyFill="0" applyBorder="0" applyAlignment="0" applyProtection="0"/>
    <xf numFmtId="3" fontId="97" fillId="78" borderId="0" applyNumberFormat="0" applyBorder="0" applyAlignment="0" applyProtection="0"/>
    <xf numFmtId="3" fontId="97" fillId="78" borderId="0" applyNumberFormat="0" applyBorder="0" applyAlignment="0" applyProtection="0"/>
    <xf numFmtId="3" fontId="16" fillId="0" borderId="0" applyNumberFormat="0" applyFont="0" applyFill="0" applyBorder="0" applyAlignment="0" applyProtection="0"/>
    <xf numFmtId="3" fontId="16" fillId="0" borderId="0" applyNumberFormat="0" applyFont="0" applyFill="0" applyBorder="0" applyAlignment="0" applyProtection="0"/>
    <xf numFmtId="3" fontId="97" fillId="45" borderId="0" applyNumberFormat="0" applyBorder="0" applyAlignment="0" applyProtection="0"/>
    <xf numFmtId="3" fontId="97" fillId="45" borderId="0" applyNumberFormat="0" applyBorder="0" applyAlignment="0" applyProtection="0"/>
    <xf numFmtId="0" fontId="16" fillId="0" borderId="0" applyFont="0" applyFill="0" applyBorder="0" applyAlignment="0" applyProtection="0"/>
    <xf numFmtId="3" fontId="16" fillId="0" borderId="0" applyFont="0" applyFill="0" applyBorder="0" applyAlignment="0" applyProtection="0"/>
    <xf numFmtId="0" fontId="16" fillId="45" borderId="0" applyNumberFormat="0" applyFont="0" applyBorder="0" applyAlignment="0" applyProtection="0"/>
    <xf numFmtId="4" fontId="16" fillId="0" borderId="0" applyFont="0" applyFill="0" applyBorder="0" applyAlignment="0" applyProtection="0"/>
    <xf numFmtId="182" fontId="76" fillId="0" borderId="0" applyFill="0" applyBorder="0" applyProtection="0">
      <alignment horizontal="right"/>
    </xf>
    <xf numFmtId="0" fontId="219" fillId="0" borderId="97"/>
    <xf numFmtId="0" fontId="70" fillId="0" borderId="0"/>
    <xf numFmtId="0" fontId="16" fillId="0" borderId="0"/>
    <xf numFmtId="0" fontId="16" fillId="0" borderId="0"/>
    <xf numFmtId="0" fontId="16" fillId="0" borderId="0"/>
    <xf numFmtId="0" fontId="16" fillId="0" borderId="0"/>
    <xf numFmtId="0" fontId="16" fillId="0" borderId="0">
      <alignment vertical="top"/>
    </xf>
    <xf numFmtId="0" fontId="220" fillId="0" borderId="0" applyNumberFormat="0" applyFill="0" applyBorder="0" applyProtection="0">
      <alignment horizontal="center"/>
    </xf>
    <xf numFmtId="4" fontId="220" fillId="0" borderId="0" applyFill="0" applyBorder="0" applyAlignment="0" applyProtection="0"/>
    <xf numFmtId="4" fontId="162" fillId="0" borderId="0" applyFill="0" applyBorder="0" applyAlignment="0" applyProtection="0"/>
    <xf numFmtId="0" fontId="221" fillId="0" borderId="0" applyNumberFormat="0" applyFill="0" applyBorder="0" applyAlignment="0" applyProtection="0"/>
    <xf numFmtId="0" fontId="222" fillId="0" borderId="100" applyNumberFormat="0" applyFill="0" applyAlignment="0" applyProtection="0"/>
    <xf numFmtId="0" fontId="223" fillId="0" borderId="101" applyNumberFormat="0" applyFill="0" applyAlignment="0" applyProtection="0"/>
    <xf numFmtId="0" fontId="224" fillId="0" borderId="102" applyNumberFormat="0" applyFill="0" applyAlignment="0" applyProtection="0"/>
    <xf numFmtId="0" fontId="224" fillId="0" borderId="0" applyNumberFormat="0" applyFill="0" applyBorder="0" applyAlignment="0" applyProtection="0"/>
    <xf numFmtId="0" fontId="225" fillId="0" borderId="103" applyNumberFormat="0" applyFill="0" applyAlignment="0" applyProtection="0"/>
    <xf numFmtId="0" fontId="225" fillId="0" borderId="0" applyNumberFormat="0" applyFill="0" applyBorder="0" applyAlignment="0" applyProtection="0"/>
    <xf numFmtId="0" fontId="226" fillId="79" borderId="104" applyNumberFormat="0" applyAlignment="0" applyProtection="0"/>
    <xf numFmtId="0" fontId="143" fillId="41" borderId="70" applyNumberFormat="0" applyAlignment="0" applyProtection="0"/>
    <xf numFmtId="0" fontId="227" fillId="80" borderId="0" applyNumberFormat="0" applyBorder="0" applyAlignment="0" applyProtection="0"/>
    <xf numFmtId="0" fontId="228" fillId="0" borderId="105" applyNumberFormat="0" applyFill="0" applyAlignment="0" applyProtection="0"/>
    <xf numFmtId="0" fontId="229" fillId="81" borderId="106" applyNumberFormat="0" applyAlignment="0" applyProtection="0"/>
    <xf numFmtId="0" fontId="231" fillId="2" borderId="0" applyNumberFormat="0" applyBorder="0" applyAlignment="0" applyProtection="0"/>
    <xf numFmtId="0" fontId="1" fillId="3" borderId="0" applyNumberFormat="0" applyBorder="0" applyAlignment="0" applyProtection="0"/>
    <xf numFmtId="0" fontId="1" fillId="82" borderId="0" applyNumberFormat="0" applyBorder="0" applyAlignment="0" applyProtection="0"/>
    <xf numFmtId="0" fontId="231" fillId="83" borderId="0" applyNumberFormat="0" applyBorder="0" applyAlignment="0" applyProtection="0"/>
    <xf numFmtId="0" fontId="231" fillId="84" borderId="0" applyNumberFormat="0" applyBorder="0" applyAlignment="0" applyProtection="0"/>
    <xf numFmtId="0" fontId="1" fillId="85" borderId="0" applyNumberFormat="0" applyBorder="0" applyAlignment="0" applyProtection="0"/>
    <xf numFmtId="0" fontId="231" fillId="86" borderId="0" applyNumberFormat="0" applyBorder="0" applyAlignment="0" applyProtection="0"/>
    <xf numFmtId="166" fontId="256" fillId="0" borderId="0" applyFont="0" applyFill="0" applyBorder="0" applyAlignment="0" applyProtection="0"/>
  </cellStyleXfs>
  <cellXfs count="858">
    <xf numFmtId="0" fontId="0" fillId="0" borderId="0" xfId="0"/>
    <xf numFmtId="0" fontId="10" fillId="0" borderId="0" xfId="0" applyFont="1"/>
    <xf numFmtId="0" fontId="10" fillId="0" borderId="0" xfId="8" applyFont="1"/>
    <xf numFmtId="49" fontId="10" fillId="0" borderId="0" xfId="8" applyNumberFormat="1" applyFont="1"/>
    <xf numFmtId="2" fontId="10" fillId="0" borderId="0" xfId="8" applyNumberFormat="1" applyFont="1"/>
    <xf numFmtId="0" fontId="18" fillId="0" borderId="0" xfId="0" applyFont="1"/>
    <xf numFmtId="0" fontId="18" fillId="0" borderId="0" xfId="0" applyFont="1" applyFill="1" applyBorder="1"/>
    <xf numFmtId="0" fontId="10" fillId="0" borderId="0" xfId="0" applyFont="1" applyFill="1" applyBorder="1" applyAlignment="1">
      <alignment vertical="center"/>
    </xf>
    <xf numFmtId="0" fontId="18" fillId="0" borderId="0" xfId="0" applyFont="1" applyAlignment="1">
      <alignment vertical="center"/>
    </xf>
    <xf numFmtId="0" fontId="18" fillId="0" borderId="0" xfId="0" applyFont="1" applyAlignment="1">
      <alignment horizontal="left" vertical="center"/>
    </xf>
    <xf numFmtId="174" fontId="10" fillId="0" borderId="0" xfId="8" applyNumberFormat="1" applyFont="1" applyAlignment="1">
      <alignment horizontal="right"/>
    </xf>
    <xf numFmtId="174" fontId="9" fillId="0" borderId="0" xfId="8" applyNumberFormat="1"/>
    <xf numFmtId="1" fontId="10" fillId="0" borderId="0" xfId="8" applyNumberFormat="1" applyFont="1" applyAlignment="1">
      <alignment horizontal="right"/>
    </xf>
    <xf numFmtId="0" fontId="18" fillId="0" borderId="0" xfId="0" applyFont="1" applyFill="1" applyBorder="1" applyProtection="1">
      <protection locked="0"/>
    </xf>
    <xf numFmtId="0" fontId="18" fillId="0" borderId="0" xfId="0" applyFont="1" applyProtection="1">
      <protection locked="0"/>
    </xf>
    <xf numFmtId="0" fontId="10" fillId="0" borderId="0" xfId="0" applyFont="1" applyAlignment="1" applyProtection="1">
      <alignment vertical="center"/>
    </xf>
    <xf numFmtId="0" fontId="10" fillId="0" borderId="0" xfId="0" applyFont="1" applyFill="1" applyBorder="1" applyAlignment="1" applyProtection="1">
      <alignment vertical="center"/>
      <protection locked="0"/>
    </xf>
    <xf numFmtId="0" fontId="18" fillId="0" borderId="0" xfId="0" applyFont="1" applyFill="1" applyBorder="1" applyAlignment="1" applyProtection="1">
      <alignment vertical="center"/>
      <protection locked="0"/>
    </xf>
    <xf numFmtId="0" fontId="18" fillId="0" borderId="0" xfId="0" applyFont="1" applyAlignment="1" applyProtection="1">
      <alignment vertical="center"/>
      <protection locked="0"/>
    </xf>
    <xf numFmtId="0" fontId="18" fillId="0" borderId="0" xfId="0" applyFont="1" applyFill="1" applyBorder="1" applyAlignment="1" applyProtection="1">
      <alignment horizontal="left" vertical="center" wrapText="1"/>
      <protection locked="0"/>
    </xf>
    <xf numFmtId="0" fontId="10" fillId="0" borderId="0" xfId="0" applyFont="1" applyFill="1" applyBorder="1" applyAlignment="1" applyProtection="1">
      <alignment horizontal="left" vertical="center" wrapText="1"/>
      <protection locked="0"/>
    </xf>
    <xf numFmtId="0" fontId="18" fillId="0" borderId="0" xfId="0" applyFont="1" applyAlignment="1" applyProtection="1">
      <alignment horizontal="left" vertical="center"/>
      <protection locked="0"/>
    </xf>
    <xf numFmtId="0" fontId="18" fillId="0" borderId="0" xfId="0" applyFont="1" applyFill="1" applyBorder="1" applyAlignment="1" applyProtection="1">
      <alignment horizontal="left" vertical="top" wrapText="1"/>
      <protection locked="0"/>
    </xf>
    <xf numFmtId="0" fontId="10" fillId="0" borderId="0" xfId="0" applyFont="1" applyFill="1" applyBorder="1" applyAlignment="1" applyProtection="1">
      <alignment horizontal="left" vertical="top" wrapText="1"/>
      <protection locked="0"/>
    </xf>
    <xf numFmtId="0" fontId="18" fillId="0" borderId="0" xfId="0" applyFont="1" applyFill="1" applyBorder="1" applyAlignment="1" applyProtection="1">
      <alignment vertical="center"/>
    </xf>
    <xf numFmtId="0" fontId="18" fillId="0" borderId="0" xfId="0" applyFont="1" applyAlignment="1" applyProtection="1">
      <alignment vertical="center"/>
    </xf>
    <xf numFmtId="0" fontId="18" fillId="0" borderId="0" xfId="0" applyFont="1" applyAlignment="1" applyProtection="1">
      <alignment horizontal="center" vertical="center"/>
    </xf>
    <xf numFmtId="0" fontId="18" fillId="0" borderId="9" xfId="0" applyFont="1" applyBorder="1" applyAlignment="1" applyProtection="1">
      <alignment horizontal="center" vertical="center"/>
    </xf>
    <xf numFmtId="0" fontId="10" fillId="0" borderId="0" xfId="0" applyFont="1" applyBorder="1" applyAlignment="1" applyProtection="1">
      <alignment vertical="center"/>
    </xf>
    <xf numFmtId="0" fontId="18" fillId="0" borderId="0" xfId="0" applyFont="1" applyFill="1" applyBorder="1" applyAlignment="1" applyProtection="1">
      <alignment horizontal="right" vertical="center"/>
    </xf>
    <xf numFmtId="0" fontId="18" fillId="0" borderId="0" xfId="0" applyFont="1" applyAlignment="1" applyProtection="1">
      <alignment horizontal="right" vertical="center"/>
    </xf>
    <xf numFmtId="0" fontId="10" fillId="0" borderId="0" xfId="0" applyFont="1" applyProtection="1">
      <protection locked="0"/>
    </xf>
    <xf numFmtId="0" fontId="18" fillId="0" borderId="0" xfId="0" applyFont="1" applyAlignment="1" applyProtection="1">
      <alignment horizontal="center"/>
      <protection locked="0"/>
    </xf>
    <xf numFmtId="168" fontId="18" fillId="0" borderId="0" xfId="0" applyNumberFormat="1" applyFont="1" applyFill="1" applyBorder="1" applyProtection="1">
      <protection locked="0"/>
    </xf>
    <xf numFmtId="0" fontId="18" fillId="0" borderId="0" xfId="0" applyFont="1" applyAlignment="1" applyProtection="1">
      <alignment horizontal="center" vertical="center"/>
      <protection locked="0"/>
    </xf>
    <xf numFmtId="173" fontId="18" fillId="0" borderId="0" xfId="0" applyNumberFormat="1" applyFont="1" applyAlignment="1" applyProtection="1">
      <alignment vertical="center"/>
      <protection locked="0"/>
    </xf>
    <xf numFmtId="0" fontId="10" fillId="0" borderId="0" xfId="0" applyFont="1" applyAlignment="1" applyProtection="1">
      <alignment vertical="center"/>
      <protection locked="0"/>
    </xf>
    <xf numFmtId="0" fontId="11" fillId="0" borderId="0" xfId="8" applyFont="1" applyAlignment="1">
      <alignment horizontal="center"/>
    </xf>
    <xf numFmtId="0" fontId="11" fillId="0" borderId="0" xfId="8" applyFont="1"/>
    <xf numFmtId="49" fontId="10" fillId="0" borderId="1" xfId="8" applyNumberFormat="1" applyFont="1" applyBorder="1"/>
    <xf numFmtId="0" fontId="10" fillId="0" borderId="1" xfId="8" applyFont="1" applyBorder="1"/>
    <xf numFmtId="49" fontId="10" fillId="0" borderId="0" xfId="8" applyNumberFormat="1" applyFont="1" applyBorder="1"/>
    <xf numFmtId="2" fontId="10" fillId="0" borderId="1" xfId="8" applyNumberFormat="1" applyFont="1" applyBorder="1" applyAlignment="1">
      <alignment horizontal="right"/>
    </xf>
    <xf numFmtId="2" fontId="10" fillId="0" borderId="0" xfId="8" applyNumberFormat="1" applyFont="1" applyBorder="1" applyAlignment="1">
      <alignment horizontal="right"/>
    </xf>
    <xf numFmtId="0" fontId="10" fillId="0" borderId="0" xfId="8" applyFont="1" applyBorder="1" applyAlignment="1">
      <alignment vertical="center" wrapText="1"/>
    </xf>
    <xf numFmtId="169" fontId="10" fillId="0" borderId="0" xfId="8" applyNumberFormat="1" applyFont="1" applyAlignment="1">
      <alignment horizontal="right"/>
    </xf>
    <xf numFmtId="0" fontId="19" fillId="0" borderId="0" xfId="8" applyFont="1" applyBorder="1" applyAlignment="1">
      <alignment vertical="center" wrapText="1"/>
    </xf>
    <xf numFmtId="174" fontId="19" fillId="0" borderId="0" xfId="8" applyNumberFormat="1" applyFont="1" applyAlignment="1">
      <alignment horizontal="right"/>
    </xf>
    <xf numFmtId="0" fontId="10" fillId="0" borderId="0" xfId="8" applyFont="1" applyAlignment="1">
      <alignment horizontal="left" vertical="top"/>
    </xf>
    <xf numFmtId="14" fontId="10" fillId="0" borderId="0" xfId="8" applyNumberFormat="1" applyFont="1" applyAlignment="1">
      <alignment horizontal="right"/>
    </xf>
    <xf numFmtId="176" fontId="10" fillId="0" borderId="0" xfId="8" applyNumberFormat="1" applyFont="1" applyAlignment="1">
      <alignment horizontal="right"/>
    </xf>
    <xf numFmtId="0" fontId="10" fillId="0" borderId="0" xfId="8" applyFont="1" applyAlignment="1">
      <alignment vertical="top" wrapText="1"/>
    </xf>
    <xf numFmtId="174" fontId="10" fillId="0" borderId="0" xfId="8" applyNumberFormat="1" applyFont="1"/>
    <xf numFmtId="0" fontId="10" fillId="11" borderId="0" xfId="8" applyFont="1" applyFill="1"/>
    <xf numFmtId="0" fontId="10" fillId="11" borderId="0" xfId="8" applyFont="1" applyFill="1" applyBorder="1" applyAlignment="1">
      <alignment vertical="center" wrapText="1"/>
    </xf>
    <xf numFmtId="0" fontId="10" fillId="0" borderId="0" xfId="8" applyFont="1" applyFill="1" applyBorder="1" applyAlignment="1">
      <alignment vertical="center" wrapText="1"/>
    </xf>
    <xf numFmtId="0" fontId="19" fillId="0" borderId="0" xfId="8" applyFont="1" applyFill="1" applyBorder="1" applyAlignment="1">
      <alignment vertical="center" wrapText="1"/>
    </xf>
    <xf numFmtId="0" fontId="18" fillId="0" borderId="0" xfId="0" applyFont="1" applyBorder="1" applyAlignment="1" applyProtection="1">
      <alignment vertical="center"/>
    </xf>
    <xf numFmtId="2" fontId="18" fillId="0" borderId="0" xfId="0" applyNumberFormat="1" applyFont="1" applyAlignment="1" applyProtection="1">
      <alignment horizontal="center" vertical="center"/>
    </xf>
    <xf numFmtId="0" fontId="18" fillId="0" borderId="0" xfId="0" applyNumberFormat="1" applyFont="1" applyFill="1" applyAlignment="1" applyProtection="1">
      <alignment horizontal="center" vertical="center"/>
    </xf>
    <xf numFmtId="2" fontId="20" fillId="0" borderId="0" xfId="0" applyNumberFormat="1" applyFont="1" applyAlignment="1">
      <alignment horizontal="left" vertical="center"/>
    </xf>
    <xf numFmtId="49" fontId="20" fillId="0" borderId="0" xfId="8" applyNumberFormat="1" applyFont="1"/>
    <xf numFmtId="174" fontId="20" fillId="0" borderId="0" xfId="8" applyNumberFormat="1" applyFont="1" applyBorder="1" applyAlignment="1">
      <alignment vertical="center" wrapText="1"/>
    </xf>
    <xf numFmtId="0" fontId="21" fillId="0" borderId="0" xfId="0" applyFont="1" applyAlignment="1" applyProtection="1">
      <alignment horizontal="center" vertical="center" wrapText="1"/>
      <protection locked="0"/>
    </xf>
    <xf numFmtId="0" fontId="21" fillId="0" borderId="0" xfId="0" applyFont="1" applyBorder="1" applyAlignment="1" applyProtection="1">
      <alignment horizontal="center" vertical="center" wrapText="1"/>
      <protection locked="0"/>
    </xf>
    <xf numFmtId="14" fontId="10" fillId="0" borderId="0" xfId="8" applyNumberFormat="1" applyFont="1" applyBorder="1" applyAlignment="1">
      <alignment horizontal="right" vertical="center" wrapText="1"/>
    </xf>
    <xf numFmtId="174" fontId="10" fillId="0" borderId="0" xfId="8" applyNumberFormat="1" applyFont="1" applyBorder="1" applyAlignment="1">
      <alignment horizontal="right" vertical="center" wrapText="1"/>
    </xf>
    <xf numFmtId="0" fontId="10" fillId="0" borderId="0" xfId="8" applyFont="1" applyBorder="1" applyAlignment="1">
      <alignment horizontal="right" vertical="center" wrapText="1"/>
    </xf>
    <xf numFmtId="0" fontId="11" fillId="0" borderId="0" xfId="0" applyFont="1"/>
    <xf numFmtId="0" fontId="26" fillId="0" borderId="0" xfId="0" applyFont="1" applyAlignment="1" applyProtection="1">
      <alignment vertical="center"/>
    </xf>
    <xf numFmtId="0" fontId="28" fillId="0" borderId="0" xfId="0" applyFont="1" applyFill="1" applyBorder="1" applyAlignment="1" applyProtection="1">
      <alignment vertical="center"/>
    </xf>
    <xf numFmtId="0" fontId="28" fillId="0" borderId="7" xfId="0" applyFont="1" applyFill="1" applyBorder="1" applyAlignment="1" applyProtection="1">
      <alignment vertical="center"/>
    </xf>
    <xf numFmtId="0" fontId="26" fillId="0" borderId="0" xfId="0" applyFont="1" applyBorder="1" applyAlignment="1" applyProtection="1">
      <alignment vertical="center"/>
    </xf>
    <xf numFmtId="171" fontId="28" fillId="0" borderId="0" xfId="0" applyNumberFormat="1" applyFont="1" applyFill="1" applyBorder="1" applyAlignment="1" applyProtection="1">
      <alignment vertical="center" wrapText="1"/>
    </xf>
    <xf numFmtId="14" fontId="29" fillId="0" borderId="0" xfId="0" applyNumberFormat="1" applyFont="1" applyFill="1" applyAlignment="1">
      <alignment horizontal="left" vertical="center"/>
    </xf>
    <xf numFmtId="0" fontId="29" fillId="0" borderId="0" xfId="0" applyNumberFormat="1" applyFont="1" applyFill="1" applyAlignment="1">
      <alignment horizontal="left" vertical="center"/>
    </xf>
    <xf numFmtId="0" fontId="10" fillId="0" borderId="0" xfId="0" applyNumberFormat="1" applyFont="1" applyFill="1" applyAlignment="1">
      <alignment horizontal="right" vertical="center"/>
    </xf>
    <xf numFmtId="0" fontId="10" fillId="0" borderId="0" xfId="0" applyNumberFormat="1" applyFont="1" applyFill="1" applyAlignment="1" applyProtection="1">
      <alignment vertical="center"/>
    </xf>
    <xf numFmtId="0" fontId="29" fillId="0" borderId="0" xfId="0" applyFont="1"/>
    <xf numFmtId="0" fontId="29" fillId="0" borderId="0" xfId="0" applyFont="1" applyFill="1" applyBorder="1" applyAlignment="1" applyProtection="1">
      <alignment horizontal="right" vertical="center"/>
    </xf>
    <xf numFmtId="175" fontId="29" fillId="0" borderId="0" xfId="0" applyNumberFormat="1" applyFont="1" applyAlignment="1" applyProtection="1">
      <alignment horizontal="right" vertical="center"/>
    </xf>
    <xf numFmtId="175" fontId="29" fillId="0" borderId="0" xfId="0" applyNumberFormat="1" applyFont="1" applyFill="1" applyAlignment="1" applyProtection="1">
      <alignment horizontal="right" vertical="center"/>
    </xf>
    <xf numFmtId="14" fontId="10" fillId="0" borderId="0" xfId="0" applyNumberFormat="1" applyFont="1" applyAlignment="1" applyProtection="1">
      <alignment vertical="center"/>
    </xf>
    <xf numFmtId="14" fontId="26" fillId="0" borderId="0" xfId="0" applyNumberFormat="1" applyFont="1" applyFill="1" applyAlignment="1" applyProtection="1">
      <alignment vertical="center"/>
    </xf>
    <xf numFmtId="0" fontId="26" fillId="0" borderId="0" xfId="0" applyNumberFormat="1" applyFont="1" applyFill="1" applyAlignment="1" applyProtection="1">
      <alignment vertical="center"/>
      <protection locked="0"/>
    </xf>
    <xf numFmtId="173" fontId="18" fillId="0" borderId="0" xfId="0" applyNumberFormat="1" applyFont="1" applyAlignment="1" applyProtection="1">
      <alignment horizontal="right" vertical="center"/>
      <protection locked="0"/>
    </xf>
    <xf numFmtId="0" fontId="26" fillId="0" borderId="0" xfId="0" applyFont="1" applyFill="1" applyAlignment="1" applyProtection="1">
      <alignment vertical="center"/>
      <protection locked="0"/>
    </xf>
    <xf numFmtId="0" fontId="26" fillId="0" borderId="0" xfId="0" applyFont="1" applyAlignment="1" applyProtection="1">
      <alignment vertical="center"/>
      <protection locked="0"/>
    </xf>
    <xf numFmtId="0" fontId="26" fillId="0" borderId="0" xfId="0" applyFont="1" applyFill="1" applyAlignment="1" applyProtection="1">
      <alignment vertical="center"/>
    </xf>
    <xf numFmtId="0" fontId="28" fillId="0" borderId="0" xfId="0" applyFont="1" applyFill="1" applyAlignment="1" applyProtection="1">
      <alignment vertical="center"/>
    </xf>
    <xf numFmtId="0" fontId="37" fillId="0" borderId="0" xfId="0" applyFont="1" applyAlignment="1" applyProtection="1">
      <alignment vertical="center"/>
    </xf>
    <xf numFmtId="0" fontId="28" fillId="0" borderId="0" xfId="0" applyFont="1" applyFill="1" applyBorder="1" applyAlignment="1" applyProtection="1">
      <alignment horizontal="left" vertical="center"/>
    </xf>
    <xf numFmtId="0" fontId="28" fillId="0" borderId="0" xfId="0" applyFont="1" applyFill="1" applyAlignment="1" applyProtection="1">
      <alignment horizontal="left" vertical="center"/>
    </xf>
    <xf numFmtId="0" fontId="26" fillId="0" borderId="11" xfId="0" applyFont="1" applyBorder="1" applyAlignment="1" applyProtection="1">
      <alignment vertical="center"/>
    </xf>
    <xf numFmtId="0" fontId="26" fillId="0" borderId="11" xfId="0" applyFont="1" applyBorder="1" applyAlignment="1" applyProtection="1">
      <alignment horizontal="left" vertical="center"/>
    </xf>
    <xf numFmtId="0" fontId="26" fillId="0" borderId="0" xfId="0" applyFont="1" applyBorder="1" applyAlignment="1" applyProtection="1">
      <alignment horizontal="left" vertical="center"/>
    </xf>
    <xf numFmtId="10" fontId="26" fillId="0" borderId="0" xfId="0" applyNumberFormat="1" applyFont="1" applyBorder="1" applyAlignment="1" applyProtection="1">
      <alignment horizontal="right" vertical="center"/>
    </xf>
    <xf numFmtId="0" fontId="32" fillId="0" borderId="0" xfId="0" applyFont="1" applyFill="1" applyAlignment="1" applyProtection="1">
      <alignment horizontal="left" vertical="center"/>
    </xf>
    <xf numFmtId="0" fontId="32" fillId="0" borderId="0" xfId="0" applyFont="1" applyFill="1" applyAlignment="1" applyProtection="1">
      <alignment vertical="center"/>
    </xf>
    <xf numFmtId="0" fontId="38" fillId="0" borderId="0" xfId="0" applyFont="1" applyFill="1" applyAlignment="1" applyProtection="1">
      <alignment vertical="center"/>
    </xf>
    <xf numFmtId="0" fontId="26" fillId="0" borderId="0" xfId="0" applyFont="1" applyAlignment="1" applyProtection="1">
      <alignment horizontal="left" vertical="center"/>
    </xf>
    <xf numFmtId="167" fontId="28" fillId="0" borderId="0" xfId="11" applyNumberFormat="1" applyFont="1" applyFill="1" applyAlignment="1" applyProtection="1">
      <alignment horizontal="right" vertical="center"/>
    </xf>
    <xf numFmtId="167" fontId="28" fillId="0" borderId="0" xfId="0" applyNumberFormat="1" applyFont="1" applyFill="1" applyAlignment="1" applyProtection="1">
      <alignment horizontal="right" vertical="center"/>
    </xf>
    <xf numFmtId="0" fontId="39" fillId="0" borderId="0" xfId="0" applyFont="1" applyFill="1" applyAlignment="1" applyProtection="1">
      <alignment vertical="center"/>
    </xf>
    <xf numFmtId="167" fontId="39" fillId="0" borderId="0" xfId="11" applyNumberFormat="1" applyFont="1" applyFill="1" applyAlignment="1" applyProtection="1">
      <alignment horizontal="right" vertical="center"/>
    </xf>
    <xf numFmtId="0" fontId="39" fillId="0" borderId="0" xfId="0" applyFont="1" applyFill="1" applyAlignment="1" applyProtection="1">
      <alignment horizontal="left" vertical="center"/>
    </xf>
    <xf numFmtId="0" fontId="19" fillId="0" borderId="0" xfId="0" applyFont="1" applyFill="1" applyAlignment="1" applyProtection="1">
      <alignment horizontal="left" vertical="center"/>
    </xf>
    <xf numFmtId="0" fontId="26" fillId="0" borderId="0" xfId="0" applyFont="1" applyFill="1" applyBorder="1" applyAlignment="1" applyProtection="1">
      <alignment horizontal="right" vertical="center"/>
    </xf>
    <xf numFmtId="0" fontId="19" fillId="0" borderId="0" xfId="0" applyFont="1" applyFill="1" applyBorder="1" applyAlignment="1" applyProtection="1">
      <alignment horizontal="right" vertical="center"/>
    </xf>
    <xf numFmtId="0" fontId="39" fillId="0" borderId="0" xfId="0" applyFont="1" applyFill="1" applyBorder="1" applyAlignment="1" applyProtection="1">
      <alignment horizontal="left" vertical="center"/>
    </xf>
    <xf numFmtId="0" fontId="26" fillId="0" borderId="0" xfId="0" applyFont="1" applyAlignment="1" applyProtection="1">
      <alignment horizontal="right" vertical="center"/>
    </xf>
    <xf numFmtId="0" fontId="26" fillId="0" borderId="0" xfId="0" applyFont="1" applyFill="1" applyBorder="1" applyAlignment="1" applyProtection="1">
      <alignment vertical="center"/>
    </xf>
    <xf numFmtId="167" fontId="39" fillId="0" borderId="0" xfId="11" applyNumberFormat="1" applyFont="1" applyFill="1" applyBorder="1" applyAlignment="1" applyProtection="1">
      <alignment horizontal="center" vertical="center"/>
      <protection locked="0"/>
    </xf>
    <xf numFmtId="0" fontId="38" fillId="0" borderId="0" xfId="0" applyFont="1" applyAlignment="1" applyProtection="1">
      <alignment vertical="center"/>
    </xf>
    <xf numFmtId="0" fontId="26" fillId="0" borderId="0" xfId="0" applyFont="1" applyAlignment="1">
      <alignment vertical="center"/>
    </xf>
    <xf numFmtId="0" fontId="27" fillId="0" borderId="0" xfId="0" applyFont="1" applyAlignment="1">
      <alignment horizontal="left" vertical="top" wrapText="1"/>
    </xf>
    <xf numFmtId="171" fontId="28" fillId="0" borderId="0" xfId="0" applyNumberFormat="1" applyFont="1" applyFill="1" applyBorder="1" applyAlignment="1" applyProtection="1">
      <alignment vertical="center" wrapText="1"/>
      <protection locked="0"/>
    </xf>
    <xf numFmtId="0" fontId="26" fillId="0" borderId="0" xfId="0" applyFont="1" applyAlignment="1">
      <alignment horizontal="left" vertical="center"/>
    </xf>
    <xf numFmtId="0" fontId="27" fillId="0" borderId="0" xfId="0" applyFont="1" applyAlignment="1">
      <alignment vertical="center" wrapText="1"/>
    </xf>
    <xf numFmtId="0" fontId="26" fillId="0" borderId="0" xfId="0" applyFont="1" applyAlignment="1">
      <alignment horizontal="left" vertical="center"/>
    </xf>
    <xf numFmtId="0" fontId="26" fillId="0" borderId="0" xfId="0" applyFont="1" applyFill="1" applyBorder="1" applyAlignment="1">
      <alignment vertical="center"/>
    </xf>
    <xf numFmtId="0" fontId="26" fillId="0" borderId="0" xfId="0" applyFont="1" applyFill="1" applyBorder="1" applyAlignment="1">
      <alignment horizontal="center" vertical="center"/>
    </xf>
    <xf numFmtId="0" fontId="28" fillId="0" borderId="0" xfId="0" applyFont="1" applyFill="1" applyBorder="1" applyAlignment="1">
      <alignment horizontal="center" vertical="center"/>
    </xf>
    <xf numFmtId="0" fontId="28" fillId="0" borderId="0" xfId="0" applyFont="1" applyFill="1" applyBorder="1" applyAlignment="1">
      <alignment vertical="center"/>
    </xf>
    <xf numFmtId="0" fontId="28" fillId="0" borderId="0" xfId="0" applyNumberFormat="1" applyFont="1" applyFill="1" applyBorder="1" applyAlignment="1">
      <alignment vertical="center"/>
    </xf>
    <xf numFmtId="0" fontId="38" fillId="0" borderId="0" xfId="0" applyFont="1" applyFill="1" applyBorder="1" applyAlignment="1">
      <alignment horizontal="center" vertical="center"/>
    </xf>
    <xf numFmtId="0" fontId="38" fillId="0" borderId="0" xfId="0" applyFont="1" applyFill="1" applyBorder="1" applyAlignment="1">
      <alignment vertical="center"/>
    </xf>
    <xf numFmtId="0" fontId="26" fillId="0" borderId="28" xfId="0" applyFont="1" applyFill="1" applyBorder="1" applyAlignment="1">
      <alignment vertical="center"/>
    </xf>
    <xf numFmtId="0" fontId="26" fillId="0" borderId="30" xfId="0" applyFont="1" applyFill="1" applyBorder="1" applyAlignment="1">
      <alignment horizontal="left" vertical="center"/>
    </xf>
    <xf numFmtId="0" fontId="26" fillId="0" borderId="0" xfId="0" applyFont="1" applyFill="1" applyBorder="1" applyAlignment="1">
      <alignment horizontal="left" vertical="center"/>
    </xf>
    <xf numFmtId="168" fontId="38" fillId="0" borderId="0" xfId="0" applyNumberFormat="1" applyFont="1" applyFill="1" applyBorder="1" applyAlignment="1">
      <alignment horizontal="center" vertical="center"/>
    </xf>
    <xf numFmtId="168" fontId="28" fillId="0" borderId="0" xfId="0" applyNumberFormat="1" applyFont="1" applyFill="1" applyBorder="1" applyAlignment="1">
      <alignment horizontal="center" vertical="center"/>
    </xf>
    <xf numFmtId="0" fontId="26" fillId="0" borderId="0" xfId="0" applyFont="1" applyFill="1" applyBorder="1" applyAlignment="1">
      <alignment vertical="top" wrapText="1"/>
    </xf>
    <xf numFmtId="0" fontId="26" fillId="0" borderId="31" xfId="0" applyFont="1" applyFill="1" applyBorder="1" applyAlignment="1">
      <alignment vertical="top" wrapText="1"/>
    </xf>
    <xf numFmtId="0" fontId="26" fillId="0" borderId="32" xfId="0" applyFont="1" applyFill="1" applyBorder="1" applyAlignment="1">
      <alignment horizontal="left" vertical="center"/>
    </xf>
    <xf numFmtId="0" fontId="26" fillId="0" borderId="33" xfId="0" applyFont="1" applyFill="1" applyBorder="1" applyAlignment="1">
      <alignment horizontal="left" vertical="center"/>
    </xf>
    <xf numFmtId="168" fontId="38" fillId="0" borderId="33" xfId="0" applyNumberFormat="1" applyFont="1" applyFill="1" applyBorder="1" applyAlignment="1">
      <alignment horizontal="center" vertical="center"/>
    </xf>
    <xf numFmtId="0" fontId="26" fillId="0" borderId="33" xfId="0" applyFont="1" applyFill="1" applyBorder="1" applyAlignment="1">
      <alignment vertical="center"/>
    </xf>
    <xf numFmtId="168" fontId="38" fillId="0" borderId="24" xfId="0" applyNumberFormat="1" applyFont="1" applyFill="1" applyBorder="1" applyAlignment="1">
      <alignment horizontal="center" vertical="center"/>
    </xf>
    <xf numFmtId="167" fontId="26" fillId="0" borderId="28" xfId="0" applyNumberFormat="1" applyFont="1" applyFill="1" applyBorder="1" applyAlignment="1" applyProtection="1">
      <alignment horizontal="center" vertical="center"/>
    </xf>
    <xf numFmtId="167" fontId="26" fillId="0" borderId="0" xfId="0" applyNumberFormat="1" applyFont="1" applyFill="1" applyBorder="1" applyAlignment="1" applyProtection="1">
      <alignment horizontal="center"/>
    </xf>
    <xf numFmtId="167" fontId="26" fillId="0" borderId="0" xfId="0" applyNumberFormat="1" applyFont="1" applyFill="1" applyBorder="1" applyAlignment="1" applyProtection="1">
      <alignment horizontal="center" vertical="center"/>
    </xf>
    <xf numFmtId="167" fontId="26" fillId="0" borderId="33" xfId="0" applyNumberFormat="1" applyFont="1" applyFill="1" applyBorder="1" applyAlignment="1" applyProtection="1">
      <alignment horizontal="center" vertical="center"/>
    </xf>
    <xf numFmtId="168" fontId="39" fillId="0" borderId="0" xfId="0" applyNumberFormat="1" applyFont="1" applyFill="1" applyBorder="1" applyAlignment="1">
      <alignment horizontal="center" vertical="center"/>
    </xf>
    <xf numFmtId="168" fontId="38" fillId="0" borderId="0" xfId="0" applyNumberFormat="1" applyFont="1" applyFill="1" applyBorder="1" applyAlignment="1" applyProtection="1">
      <alignment horizontal="center" vertical="center"/>
    </xf>
    <xf numFmtId="0" fontId="26" fillId="0" borderId="30" xfId="0" applyFont="1" applyFill="1" applyBorder="1" applyAlignment="1">
      <alignment horizontal="left" vertical="center" wrapText="1"/>
    </xf>
    <xf numFmtId="0" fontId="26" fillId="0" borderId="0" xfId="0" applyFont="1" applyFill="1" applyBorder="1" applyAlignment="1">
      <alignment horizontal="left" vertical="center" wrapText="1"/>
    </xf>
    <xf numFmtId="0" fontId="26" fillId="0" borderId="0" xfId="0" applyFont="1" applyFill="1" applyBorder="1" applyAlignment="1" applyProtection="1">
      <alignment vertical="center"/>
      <protection locked="0"/>
    </xf>
    <xf numFmtId="0" fontId="26" fillId="0" borderId="0" xfId="0" applyFont="1" applyFill="1" applyBorder="1" applyAlignment="1" applyProtection="1">
      <alignment horizontal="center" vertical="center"/>
      <protection locked="0"/>
    </xf>
    <xf numFmtId="0" fontId="39" fillId="0" borderId="0" xfId="0" applyFont="1" applyFill="1" applyBorder="1" applyAlignment="1" applyProtection="1">
      <alignment horizontal="left"/>
      <protection locked="0"/>
    </xf>
    <xf numFmtId="167" fontId="39" fillId="0" borderId="0" xfId="11" applyNumberFormat="1" applyFont="1" applyFill="1" applyBorder="1" applyAlignment="1" applyProtection="1">
      <alignment horizontal="center"/>
      <protection locked="0"/>
    </xf>
    <xf numFmtId="172" fontId="28" fillId="0" borderId="40" xfId="0" applyNumberFormat="1" applyFont="1" applyFill="1" applyBorder="1" applyAlignment="1" applyProtection="1">
      <alignment horizontal="right" vertical="center" wrapText="1"/>
    </xf>
    <xf numFmtId="0" fontId="27" fillId="0" borderId="0" xfId="0" applyFont="1" applyAlignment="1" applyProtection="1">
      <alignment vertical="center" wrapText="1"/>
      <protection locked="0"/>
    </xf>
    <xf numFmtId="0" fontId="28" fillId="0" borderId="0" xfId="0" applyFont="1" applyFill="1" applyBorder="1" applyAlignment="1" applyProtection="1">
      <alignment vertical="center"/>
      <protection locked="0"/>
    </xf>
    <xf numFmtId="0" fontId="29" fillId="0" borderId="0" xfId="0" applyFont="1" applyFill="1" applyBorder="1" applyAlignment="1">
      <alignment vertical="center"/>
    </xf>
    <xf numFmtId="2" fontId="28" fillId="0" borderId="40" xfId="0" applyNumberFormat="1" applyFont="1" applyFill="1" applyBorder="1" applyAlignment="1" applyProtection="1">
      <alignment horizontal="right" vertical="center" wrapText="1"/>
    </xf>
    <xf numFmtId="0" fontId="28" fillId="0" borderId="0" xfId="0" applyNumberFormat="1" applyFont="1" applyFill="1" applyBorder="1" applyAlignment="1" applyProtection="1">
      <alignment vertical="center" wrapText="1"/>
      <protection locked="0"/>
    </xf>
    <xf numFmtId="0" fontId="29" fillId="0" borderId="0" xfId="0" applyFont="1" applyFill="1" applyBorder="1" applyAlignment="1">
      <alignment vertical="center" wrapText="1"/>
    </xf>
    <xf numFmtId="0" fontId="42" fillId="0" borderId="0" xfId="0" applyFont="1" applyAlignment="1">
      <alignment horizontal="left" vertical="top"/>
    </xf>
    <xf numFmtId="0" fontId="28" fillId="0" borderId="0" xfId="0" applyNumberFormat="1" applyFont="1" applyFill="1" applyBorder="1" applyAlignment="1" applyProtection="1">
      <alignment vertical="center"/>
      <protection locked="0"/>
    </xf>
    <xf numFmtId="0" fontId="26" fillId="0" borderId="0" xfId="0" applyFont="1" applyAlignment="1" applyProtection="1">
      <alignment horizontal="left" vertical="center"/>
    </xf>
    <xf numFmtId="0" fontId="18" fillId="0" borderId="0" xfId="0" applyFont="1" applyFill="1"/>
    <xf numFmtId="0" fontId="26" fillId="0" borderId="0" xfId="0" applyFont="1" applyFill="1" applyBorder="1" applyAlignment="1">
      <alignment horizontal="center" vertical="center" wrapText="1"/>
    </xf>
    <xf numFmtId="0" fontId="18" fillId="0" borderId="0" xfId="0" applyFont="1" applyFill="1" applyProtection="1">
      <protection locked="0"/>
    </xf>
    <xf numFmtId="0" fontId="10" fillId="0" borderId="0" xfId="0" applyFont="1" applyFill="1" applyBorder="1" applyAlignment="1">
      <alignment horizontal="center" vertical="center" wrapText="1"/>
    </xf>
    <xf numFmtId="0" fontId="10" fillId="0" borderId="35" xfId="0" applyFont="1" applyFill="1" applyBorder="1" applyAlignment="1">
      <alignment horizontal="center" vertical="center" wrapText="1"/>
    </xf>
    <xf numFmtId="0" fontId="26" fillId="0" borderId="35" xfId="0" applyFont="1" applyFill="1" applyBorder="1" applyAlignment="1">
      <alignment vertical="center" wrapText="1"/>
    </xf>
    <xf numFmtId="0" fontId="10" fillId="9" borderId="35" xfId="0" applyFont="1" applyFill="1" applyBorder="1" applyAlignment="1" applyProtection="1">
      <alignment horizontal="center" vertical="center"/>
      <protection locked="0"/>
    </xf>
    <xf numFmtId="0" fontId="10" fillId="0" borderId="35" xfId="0" applyFont="1" applyFill="1" applyBorder="1" applyAlignment="1">
      <alignment horizontal="center" vertical="center"/>
    </xf>
    <xf numFmtId="168" fontId="26" fillId="0" borderId="35" xfId="0" applyNumberFormat="1" applyFont="1" applyFill="1" applyBorder="1" applyAlignment="1">
      <alignment horizontal="center" vertical="center" wrapText="1"/>
    </xf>
    <xf numFmtId="0" fontId="10" fillId="0" borderId="36" xfId="0" applyFont="1" applyFill="1" applyBorder="1" applyAlignment="1">
      <alignment horizontal="center" vertical="center" wrapText="1"/>
    </xf>
    <xf numFmtId="0" fontId="26" fillId="0" borderId="36" xfId="0" applyFont="1" applyFill="1" applyBorder="1" applyAlignment="1">
      <alignment vertical="center" wrapText="1"/>
    </xf>
    <xf numFmtId="0" fontId="10" fillId="0" borderId="36" xfId="0" applyFont="1" applyFill="1" applyBorder="1" applyAlignment="1">
      <alignment horizontal="center" vertical="center"/>
    </xf>
    <xf numFmtId="168" fontId="26" fillId="0" borderId="36" xfId="0" applyNumberFormat="1" applyFont="1" applyFill="1" applyBorder="1" applyAlignment="1">
      <alignment horizontal="center" vertical="center" wrapText="1"/>
    </xf>
    <xf numFmtId="0" fontId="26" fillId="0" borderId="0" xfId="0" applyFont="1" applyFill="1" applyBorder="1" applyAlignment="1" applyProtection="1">
      <alignment vertical="center" wrapText="1"/>
      <protection locked="0"/>
    </xf>
    <xf numFmtId="0" fontId="10" fillId="0" borderId="37" xfId="0" applyFont="1" applyFill="1" applyBorder="1" applyAlignment="1">
      <alignment horizontal="center" vertical="center" wrapText="1"/>
    </xf>
    <xf numFmtId="0" fontId="26" fillId="0" borderId="37" xfId="0" applyFont="1" applyFill="1" applyBorder="1" applyAlignment="1">
      <alignment vertical="center" wrapText="1"/>
    </xf>
    <xf numFmtId="0" fontId="10" fillId="9" borderId="0" xfId="0" applyFont="1" applyFill="1" applyBorder="1" applyAlignment="1" applyProtection="1">
      <alignment horizontal="center" vertical="center"/>
      <protection locked="0"/>
    </xf>
    <xf numFmtId="0" fontId="10" fillId="0" borderId="37" xfId="0" applyFont="1" applyFill="1" applyBorder="1" applyAlignment="1">
      <alignment horizontal="center" vertical="center"/>
    </xf>
    <xf numFmtId="168" fontId="26" fillId="0" borderId="37" xfId="0" applyNumberFormat="1" applyFont="1" applyFill="1" applyBorder="1" applyAlignment="1">
      <alignment horizontal="center" vertical="center" wrapText="1"/>
    </xf>
    <xf numFmtId="0" fontId="26" fillId="0" borderId="9" xfId="0" applyFont="1" applyFill="1" applyBorder="1" applyAlignment="1">
      <alignment horizontal="left" vertical="center" wrapText="1"/>
    </xf>
    <xf numFmtId="168" fontId="38" fillId="0" borderId="9" xfId="0" applyNumberFormat="1" applyFont="1" applyFill="1" applyBorder="1" applyAlignment="1">
      <alignment horizontal="center" vertical="center"/>
    </xf>
    <xf numFmtId="0" fontId="26" fillId="0" borderId="3" xfId="0" applyFont="1" applyFill="1" applyBorder="1" applyAlignment="1">
      <alignment horizontal="left" vertical="center"/>
    </xf>
    <xf numFmtId="0" fontId="26" fillId="0" borderId="3" xfId="0" applyFont="1" applyFill="1" applyBorder="1" applyAlignment="1">
      <alignment vertical="center"/>
    </xf>
    <xf numFmtId="168" fontId="26" fillId="0" borderId="3" xfId="0" applyNumberFormat="1" applyFont="1" applyFill="1" applyBorder="1" applyAlignment="1">
      <alignment vertical="center"/>
    </xf>
    <xf numFmtId="0" fontId="26" fillId="0" borderId="35" xfId="0" applyFont="1" applyFill="1" applyBorder="1" applyAlignment="1">
      <alignment horizontal="center" vertical="center" wrapText="1"/>
    </xf>
    <xf numFmtId="0" fontId="26" fillId="0" borderId="36" xfId="0" applyFont="1" applyFill="1" applyBorder="1" applyAlignment="1">
      <alignment horizontal="center" vertical="center" wrapText="1"/>
    </xf>
    <xf numFmtId="0" fontId="26" fillId="0" borderId="37" xfId="0" applyFont="1" applyFill="1" applyBorder="1" applyAlignment="1">
      <alignment horizontal="center" vertical="center" wrapText="1"/>
    </xf>
    <xf numFmtId="0" fontId="26" fillId="0" borderId="0" xfId="0" applyFont="1" applyFill="1" applyBorder="1" applyAlignment="1" applyProtection="1">
      <alignment horizontal="left" vertical="center" wrapText="1"/>
      <protection locked="0"/>
    </xf>
    <xf numFmtId="168" fontId="38" fillId="4" borderId="9" xfId="0" applyNumberFormat="1" applyFont="1" applyFill="1" applyBorder="1" applyAlignment="1">
      <alignment horizontal="center" vertical="center"/>
    </xf>
    <xf numFmtId="168" fontId="38" fillId="0" borderId="3" xfId="0" applyNumberFormat="1" applyFont="1" applyFill="1" applyBorder="1" applyAlignment="1">
      <alignment vertical="center"/>
    </xf>
    <xf numFmtId="0" fontId="28" fillId="0" borderId="0" xfId="0" applyFont="1" applyFill="1" applyBorder="1" applyAlignment="1" applyProtection="1">
      <alignment horizontal="left" vertical="center" wrapText="1"/>
      <protection locked="0"/>
    </xf>
    <xf numFmtId="0" fontId="10" fillId="0" borderId="0" xfId="0" applyFont="1" applyFill="1" applyBorder="1" applyAlignment="1">
      <alignment horizontal="center" vertical="center"/>
    </xf>
    <xf numFmtId="0" fontId="26" fillId="0" borderId="9" xfId="0" applyFont="1" applyFill="1" applyBorder="1" applyAlignment="1">
      <alignment vertical="center"/>
    </xf>
    <xf numFmtId="168" fontId="26" fillId="0" borderId="9" xfId="0" applyNumberFormat="1" applyFont="1" applyFill="1" applyBorder="1" applyAlignment="1">
      <alignment vertical="center"/>
    </xf>
    <xf numFmtId="0" fontId="26" fillId="0" borderId="0" xfId="0" applyFont="1" applyFill="1" applyBorder="1" applyAlignment="1" applyProtection="1">
      <alignment vertical="top" wrapText="1"/>
      <protection locked="0"/>
    </xf>
    <xf numFmtId="0" fontId="39" fillId="0" borderId="0" xfId="0" applyFont="1" applyFill="1" applyBorder="1" applyAlignment="1">
      <alignment vertical="center"/>
    </xf>
    <xf numFmtId="0" fontId="44" fillId="0" borderId="0" xfId="0" applyFont="1" applyFill="1" applyBorder="1" applyAlignment="1">
      <alignment horizontal="right" vertical="center" wrapText="1" indent="1"/>
    </xf>
    <xf numFmtId="173" fontId="44" fillId="0" borderId="0" xfId="1" applyNumberFormat="1" applyFont="1" applyFill="1" applyBorder="1" applyAlignment="1">
      <alignment horizontal="center" vertical="center"/>
    </xf>
    <xf numFmtId="0" fontId="26" fillId="0" borderId="0" xfId="0" applyFont="1" applyFill="1" applyBorder="1" applyAlignment="1" applyProtection="1">
      <alignment horizontal="left" vertical="top" wrapText="1"/>
      <protection locked="0"/>
    </xf>
    <xf numFmtId="49" fontId="26" fillId="0" borderId="0" xfId="15" applyNumberFormat="1" applyFont="1" applyFill="1" applyBorder="1"/>
    <xf numFmtId="49" fontId="33" fillId="0" borderId="0" xfId="15" applyNumberFormat="1" applyFont="1" applyFill="1" applyBorder="1" applyProtection="1">
      <protection locked="0"/>
    </xf>
    <xf numFmtId="49" fontId="26" fillId="0" borderId="0" xfId="15" applyNumberFormat="1" applyFont="1" applyFill="1" applyBorder="1" applyProtection="1">
      <protection locked="0"/>
    </xf>
    <xf numFmtId="49" fontId="26" fillId="0" borderId="0" xfId="15" applyNumberFormat="1" applyFont="1" applyFill="1" applyBorder="1" applyAlignment="1" applyProtection="1">
      <alignment vertical="center"/>
      <protection locked="0"/>
    </xf>
    <xf numFmtId="49" fontId="26" fillId="0" borderId="38" xfId="15" applyNumberFormat="1" applyFont="1" applyFill="1" applyBorder="1" applyAlignment="1">
      <alignment horizontal="left" vertical="center"/>
    </xf>
    <xf numFmtId="49" fontId="26" fillId="0" borderId="0" xfId="18" applyNumberFormat="1" applyFont="1" applyFill="1" applyBorder="1" applyAlignment="1" applyProtection="1">
      <alignment horizontal="left" vertical="center" wrapText="1"/>
      <protection locked="0"/>
    </xf>
    <xf numFmtId="0" fontId="26" fillId="0" borderId="0" xfId="0" applyFont="1" applyFill="1" applyAlignment="1" applyProtection="1">
      <alignment horizontal="left" vertical="center"/>
      <protection locked="0"/>
    </xf>
    <xf numFmtId="49" fontId="26" fillId="0" borderId="39" xfId="15" applyNumberFormat="1" applyFont="1" applyFill="1" applyBorder="1" applyAlignment="1">
      <alignment horizontal="left" vertical="center"/>
    </xf>
    <xf numFmtId="49" fontId="26" fillId="0" borderId="41" xfId="18" applyNumberFormat="1" applyFont="1" applyFill="1" applyBorder="1" applyAlignment="1" applyProtection="1">
      <alignment horizontal="left" vertical="center"/>
      <protection locked="0"/>
    </xf>
    <xf numFmtId="49" fontId="26" fillId="0" borderId="0" xfId="18" applyNumberFormat="1" applyFont="1" applyFill="1" applyBorder="1" applyAlignment="1" applyProtection="1">
      <alignment vertical="top" wrapText="1"/>
      <protection locked="0"/>
    </xf>
    <xf numFmtId="168" fontId="38" fillId="0" borderId="0" xfId="0" applyNumberFormat="1" applyFont="1" applyFill="1" applyBorder="1" applyAlignment="1" applyProtection="1">
      <alignment vertical="center"/>
      <protection locked="0"/>
    </xf>
    <xf numFmtId="167" fontId="26" fillId="0" borderId="0" xfId="0" applyNumberFormat="1" applyFont="1" applyFill="1" applyBorder="1" applyAlignment="1" applyProtection="1">
      <protection locked="0"/>
    </xf>
    <xf numFmtId="168" fontId="38" fillId="0" borderId="0" xfId="0" applyNumberFormat="1" applyFont="1" applyFill="1" applyBorder="1" applyAlignment="1" applyProtection="1">
      <alignment horizontal="center" vertical="center"/>
      <protection locked="0"/>
    </xf>
    <xf numFmtId="167" fontId="26" fillId="0" borderId="0" xfId="0" applyNumberFormat="1" applyFont="1" applyFill="1" applyBorder="1" applyAlignment="1" applyProtection="1">
      <alignment horizontal="center"/>
      <protection locked="0"/>
    </xf>
    <xf numFmtId="168" fontId="26" fillId="0" borderId="0" xfId="0" applyNumberFormat="1" applyFont="1" applyFill="1" applyBorder="1" applyAlignment="1" applyProtection="1">
      <alignment vertical="center"/>
      <protection locked="0"/>
    </xf>
    <xf numFmtId="167" fontId="26" fillId="0" borderId="0" xfId="0" applyNumberFormat="1" applyFont="1" applyFill="1" applyBorder="1" applyAlignment="1" applyProtection="1">
      <alignment vertical="center"/>
      <protection locked="0"/>
    </xf>
    <xf numFmtId="0" fontId="28" fillId="0" borderId="0" xfId="0" applyFont="1" applyFill="1" applyBorder="1" applyAlignment="1" applyProtection="1">
      <alignment horizontal="left" vertical="top" wrapText="1"/>
      <protection locked="0"/>
    </xf>
    <xf numFmtId="0" fontId="10" fillId="0" borderId="0" xfId="0" applyFont="1" applyFill="1" applyBorder="1" applyProtection="1">
      <protection locked="0"/>
    </xf>
    <xf numFmtId="0" fontId="38" fillId="0" borderId="0" xfId="19" applyFont="1" applyFill="1" applyBorder="1" applyAlignment="1" applyProtection="1">
      <alignment vertical="center"/>
      <protection locked="0"/>
    </xf>
    <xf numFmtId="0" fontId="28" fillId="0" borderId="0" xfId="0" applyFont="1" applyFill="1" applyBorder="1" applyProtection="1">
      <protection locked="0"/>
    </xf>
    <xf numFmtId="167" fontId="28" fillId="0" borderId="0" xfId="11" applyNumberFormat="1" applyFont="1" applyFill="1" applyBorder="1" applyAlignment="1" applyProtection="1">
      <alignment horizontal="left" vertical="top" wrapText="1"/>
      <protection locked="0"/>
    </xf>
    <xf numFmtId="10" fontId="28" fillId="0" borderId="0" xfId="0" applyNumberFormat="1" applyFont="1" applyFill="1" applyBorder="1" applyAlignment="1" applyProtection="1">
      <alignment horizontal="left" vertical="top" wrapText="1"/>
      <protection locked="0"/>
    </xf>
    <xf numFmtId="0" fontId="38" fillId="0" borderId="0" xfId="0" applyFont="1" applyFill="1" applyBorder="1" applyAlignment="1" applyProtection="1">
      <alignment vertical="center"/>
      <protection locked="0"/>
    </xf>
    <xf numFmtId="168" fontId="10" fillId="0" borderId="0" xfId="0" applyNumberFormat="1" applyFont="1" applyFill="1" applyBorder="1" applyProtection="1">
      <protection locked="0"/>
    </xf>
    <xf numFmtId="0" fontId="28" fillId="0" borderId="0" xfId="0" applyNumberFormat="1" applyFont="1" applyFill="1" applyBorder="1" applyAlignment="1" applyProtection="1">
      <alignment horizontal="left" vertical="top" wrapText="1"/>
      <protection locked="0"/>
    </xf>
    <xf numFmtId="0" fontId="26" fillId="0" borderId="0" xfId="0" applyFont="1" applyFill="1" applyBorder="1" applyAlignment="1" applyProtection="1">
      <protection locked="0"/>
    </xf>
    <xf numFmtId="0" fontId="10" fillId="0" borderId="0" xfId="0" applyFont="1" applyFill="1" applyBorder="1" applyAlignment="1" applyProtection="1">
      <alignment horizontal="right"/>
      <protection locked="0"/>
    </xf>
    <xf numFmtId="167" fontId="39" fillId="0" borderId="0" xfId="11" applyNumberFormat="1" applyFont="1" applyFill="1" applyBorder="1" applyAlignment="1" applyProtection="1">
      <protection locked="0"/>
    </xf>
    <xf numFmtId="0" fontId="27" fillId="0" borderId="0" xfId="0" applyFont="1" applyAlignment="1" applyProtection="1">
      <alignment horizontal="left" vertical="center" wrapText="1"/>
    </xf>
    <xf numFmtId="0" fontId="26" fillId="0" borderId="0" xfId="0" applyFont="1" applyAlignment="1">
      <alignment horizontal="left" vertical="center"/>
    </xf>
    <xf numFmtId="0" fontId="26" fillId="0" borderId="0" xfId="0" applyFont="1" applyAlignment="1" applyProtection="1">
      <alignment horizontal="left" vertical="center"/>
    </xf>
    <xf numFmtId="0" fontId="46" fillId="13" borderId="0" xfId="29"/>
    <xf numFmtId="0" fontId="40" fillId="0" borderId="0" xfId="0" applyFont="1" applyFill="1" applyBorder="1" applyAlignment="1" applyProtection="1">
      <alignment vertical="top" wrapText="1"/>
      <protection locked="0"/>
    </xf>
    <xf numFmtId="0" fontId="38" fillId="0" borderId="0" xfId="0" applyFont="1" applyAlignment="1" applyProtection="1">
      <alignment vertical="center"/>
      <protection locked="0"/>
    </xf>
    <xf numFmtId="0" fontId="40" fillId="0" borderId="0" xfId="0" applyFont="1" applyBorder="1" applyAlignment="1" applyProtection="1">
      <alignment vertical="top" wrapText="1"/>
      <protection locked="0"/>
    </xf>
    <xf numFmtId="0" fontId="18" fillId="0" borderId="0" xfId="0" applyFont="1" applyBorder="1" applyProtection="1">
      <protection locked="0"/>
    </xf>
    <xf numFmtId="0" fontId="26" fillId="0" borderId="0" xfId="0" applyFont="1" applyBorder="1" applyAlignment="1" applyProtection="1">
      <alignment vertical="top"/>
      <protection locked="0"/>
    </xf>
    <xf numFmtId="0" fontId="26" fillId="14" borderId="0" xfId="0" applyFont="1" applyFill="1" applyBorder="1" applyAlignment="1" applyProtection="1">
      <alignment vertical="center" wrapText="1"/>
    </xf>
    <xf numFmtId="0" fontId="43" fillId="15" borderId="0" xfId="0" applyFont="1" applyFill="1" applyBorder="1" applyAlignment="1">
      <alignment horizontal="center" vertical="center" wrapText="1"/>
    </xf>
    <xf numFmtId="0" fontId="43" fillId="15" borderId="0" xfId="0" applyFont="1" applyFill="1" applyBorder="1" applyAlignment="1">
      <alignment horizontal="center" vertical="center"/>
    </xf>
    <xf numFmtId="10" fontId="45" fillId="14" borderId="43" xfId="0" applyNumberFormat="1" applyFont="1" applyFill="1" applyBorder="1" applyAlignment="1">
      <alignment horizontal="center" vertical="center"/>
    </xf>
    <xf numFmtId="0" fontId="10" fillId="16" borderId="0" xfId="0" applyNumberFormat="1" applyFont="1" applyFill="1" applyAlignment="1" applyProtection="1">
      <alignment vertical="center"/>
    </xf>
    <xf numFmtId="0" fontId="10" fillId="16" borderId="0" xfId="0" applyFont="1" applyFill="1"/>
    <xf numFmtId="0" fontId="50" fillId="0" borderId="0" xfId="0" applyNumberFormat="1" applyFont="1" applyFill="1" applyAlignment="1" applyProtection="1">
      <alignment vertical="center"/>
    </xf>
    <xf numFmtId="0" fontId="28" fillId="0" borderId="47" xfId="0" applyFont="1" applyFill="1" applyBorder="1" applyAlignment="1" applyProtection="1">
      <alignment vertical="center"/>
    </xf>
    <xf numFmtId="0" fontId="32" fillId="14" borderId="0" xfId="19" applyFont="1" applyFill="1" applyBorder="1" applyAlignment="1" applyProtection="1">
      <alignment horizontal="left" vertical="center"/>
    </xf>
    <xf numFmtId="0" fontId="33" fillId="4" borderId="47" xfId="19" quotePrefix="1" applyFont="1" applyFill="1" applyBorder="1" applyAlignment="1" applyProtection="1">
      <alignment horizontal="left" vertical="center"/>
    </xf>
    <xf numFmtId="0" fontId="37" fillId="0" borderId="47" xfId="0" applyFont="1" applyBorder="1" applyAlignment="1" applyProtection="1">
      <alignment vertical="center"/>
    </xf>
    <xf numFmtId="0" fontId="28" fillId="0" borderId="48" xfId="0" applyFont="1" applyFill="1" applyBorder="1" applyAlignment="1" applyProtection="1">
      <alignment vertical="center"/>
    </xf>
    <xf numFmtId="0" fontId="18" fillId="0" borderId="48" xfId="0" applyFont="1" applyBorder="1" applyAlignment="1" applyProtection="1">
      <alignment vertical="center"/>
    </xf>
    <xf numFmtId="0" fontId="10" fillId="0" borderId="48" xfId="0" applyFont="1" applyBorder="1" applyAlignment="1" applyProtection="1">
      <alignment vertical="center"/>
    </xf>
    <xf numFmtId="0" fontId="28" fillId="0" borderId="49" xfId="0" applyFont="1" applyFill="1" applyBorder="1" applyAlignment="1" applyProtection="1">
      <alignment vertical="center"/>
    </xf>
    <xf numFmtId="0" fontId="18" fillId="0" borderId="49" xfId="0" applyFont="1" applyBorder="1" applyAlignment="1" applyProtection="1">
      <alignment vertical="center"/>
    </xf>
    <xf numFmtId="0" fontId="10" fillId="0" borderId="49" xfId="0" applyFont="1" applyBorder="1" applyAlignment="1" applyProtection="1">
      <alignment vertical="center"/>
    </xf>
    <xf numFmtId="0" fontId="18" fillId="0" borderId="49" xfId="0" applyFont="1" applyBorder="1" applyAlignment="1" applyProtection="1">
      <alignment vertical="center"/>
      <protection locked="0"/>
    </xf>
    <xf numFmtId="0" fontId="28" fillId="0" borderId="50" xfId="0" applyFont="1" applyFill="1" applyBorder="1" applyAlignment="1" applyProtection="1">
      <alignment vertical="center"/>
    </xf>
    <xf numFmtId="172" fontId="28" fillId="0" borderId="48" xfId="0" applyNumberFormat="1" applyFont="1" applyFill="1" applyBorder="1" applyAlignment="1" applyProtection="1">
      <alignment vertical="center" wrapText="1"/>
    </xf>
    <xf numFmtId="0" fontId="18" fillId="0" borderId="48" xfId="0" applyFont="1" applyBorder="1" applyProtection="1">
      <protection locked="0"/>
    </xf>
    <xf numFmtId="0" fontId="28" fillId="0" borderId="49" xfId="0" applyNumberFormat="1" applyFont="1" applyFill="1" applyBorder="1" applyAlignment="1" applyProtection="1">
      <alignment horizontal="right" vertical="center" wrapText="1"/>
    </xf>
    <xf numFmtId="0" fontId="28" fillId="0" borderId="49" xfId="0" applyFont="1" applyFill="1" applyBorder="1" applyAlignment="1" applyProtection="1">
      <alignment horizontal="left" vertical="center"/>
    </xf>
    <xf numFmtId="4" fontId="28" fillId="0" borderId="49" xfId="0" applyNumberFormat="1" applyFont="1" applyFill="1" applyBorder="1" applyAlignment="1" applyProtection="1">
      <alignment horizontal="right" vertical="center" wrapText="1"/>
    </xf>
    <xf numFmtId="0" fontId="28" fillId="0" borderId="0" xfId="0" applyFont="1" applyFill="1" applyBorder="1" applyAlignment="1">
      <alignment horizontal="left" vertical="center"/>
    </xf>
    <xf numFmtId="167" fontId="26" fillId="0" borderId="0" xfId="1" applyNumberFormat="1" applyFont="1" applyFill="1" applyBorder="1" applyAlignment="1">
      <alignment horizontal="right" vertical="center"/>
    </xf>
    <xf numFmtId="0" fontId="28" fillId="0" borderId="49" xfId="0" applyFont="1" applyFill="1" applyBorder="1" applyAlignment="1">
      <alignment horizontal="left" vertical="center"/>
    </xf>
    <xf numFmtId="167" fontId="28" fillId="0" borderId="49" xfId="1" applyNumberFormat="1" applyFont="1" applyFill="1" applyBorder="1" applyAlignment="1" applyProtection="1">
      <alignment horizontal="right" vertical="center"/>
    </xf>
    <xf numFmtId="0" fontId="33" fillId="4" borderId="52" xfId="19" quotePrefix="1" applyFont="1" applyFill="1" applyBorder="1" applyAlignment="1" applyProtection="1">
      <alignment horizontal="left" vertical="center"/>
    </xf>
    <xf numFmtId="0" fontId="32" fillId="14" borderId="51" xfId="19" applyFont="1" applyFill="1" applyBorder="1" applyAlignment="1" applyProtection="1">
      <alignment horizontal="left" vertical="center"/>
    </xf>
    <xf numFmtId="0" fontId="29" fillId="15" borderId="52" xfId="0" applyFont="1" applyFill="1" applyBorder="1" applyAlignment="1" applyProtection="1">
      <alignment horizontal="center" vertical="center"/>
    </xf>
    <xf numFmtId="0" fontId="32" fillId="14" borderId="53" xfId="19" applyFont="1" applyFill="1" applyBorder="1" applyAlignment="1" applyProtection="1">
      <alignment horizontal="left" vertical="center"/>
    </xf>
    <xf numFmtId="0" fontId="33" fillId="4" borderId="47" xfId="19" quotePrefix="1" applyFont="1" applyFill="1" applyBorder="1" applyAlignment="1" applyProtection="1">
      <alignment vertical="center"/>
      <protection locked="0"/>
    </xf>
    <xf numFmtId="0" fontId="35" fillId="0" borderId="47" xfId="0" applyFont="1" applyBorder="1" applyAlignment="1">
      <alignment vertical="center"/>
    </xf>
    <xf numFmtId="0" fontId="32" fillId="14" borderId="52" xfId="19" applyFont="1" applyFill="1" applyBorder="1" applyAlignment="1" applyProtection="1">
      <alignment horizontal="left" vertical="center"/>
      <protection locked="0"/>
    </xf>
    <xf numFmtId="2" fontId="26" fillId="16" borderId="52" xfId="0" applyNumberFormat="1" applyFont="1" applyFill="1" applyBorder="1" applyAlignment="1" applyProtection="1">
      <alignment horizontal="right" vertical="center"/>
      <protection locked="0"/>
    </xf>
    <xf numFmtId="14" fontId="29" fillId="15" borderId="52" xfId="0" applyNumberFormat="1" applyFont="1" applyFill="1" applyBorder="1" applyAlignment="1" applyProtection="1">
      <alignment horizontal="left" vertical="center"/>
    </xf>
    <xf numFmtId="175" fontId="29" fillId="15" borderId="52" xfId="0" applyNumberFormat="1" applyFont="1" applyFill="1" applyBorder="1" applyAlignment="1" applyProtection="1">
      <alignment horizontal="right" vertical="center"/>
      <protection locked="0"/>
    </xf>
    <xf numFmtId="175" fontId="29" fillId="15" borderId="52" xfId="0" applyNumberFormat="1" applyFont="1" applyFill="1" applyBorder="1" applyAlignment="1" applyProtection="1">
      <alignment horizontal="right" vertical="center"/>
    </xf>
    <xf numFmtId="0" fontId="32" fillId="14" borderId="51" xfId="19" applyFont="1" applyFill="1" applyBorder="1" applyAlignment="1" applyProtection="1">
      <alignment horizontal="left" vertical="center"/>
      <protection locked="0"/>
    </xf>
    <xf numFmtId="2" fontId="26" fillId="16" borderId="51" xfId="0" applyNumberFormat="1" applyFont="1" applyFill="1" applyBorder="1" applyAlignment="1" applyProtection="1">
      <alignment horizontal="right" vertical="center"/>
      <protection locked="0"/>
    </xf>
    <xf numFmtId="167" fontId="18" fillId="0" borderId="0" xfId="0" applyNumberFormat="1" applyFont="1" applyAlignment="1" applyProtection="1">
      <alignment vertical="center"/>
      <protection locked="0"/>
    </xf>
    <xf numFmtId="0" fontId="51" fillId="17" borderId="0" xfId="21" applyFont="1" applyFill="1"/>
    <xf numFmtId="0" fontId="16" fillId="17" borderId="0" xfId="21" applyFont="1" applyFill="1"/>
    <xf numFmtId="0" fontId="51" fillId="18" borderId="0" xfId="21" applyFont="1" applyFill="1"/>
    <xf numFmtId="0" fontId="16" fillId="18" borderId="0" xfId="21" applyFont="1" applyFill="1"/>
    <xf numFmtId="0" fontId="51" fillId="19" borderId="0" xfId="21" applyFont="1" applyFill="1"/>
    <xf numFmtId="0" fontId="16" fillId="19" borderId="0" xfId="21" applyFont="1" applyFill="1"/>
    <xf numFmtId="0" fontId="16" fillId="0" borderId="0" xfId="21" applyFont="1"/>
    <xf numFmtId="0" fontId="16" fillId="17" borderId="0" xfId="21" applyFont="1" applyFill="1" applyAlignment="1">
      <alignment horizontal="center"/>
    </xf>
    <xf numFmtId="9" fontId="16" fillId="19" borderId="0" xfId="21" applyNumberFormat="1" applyFont="1" applyFill="1"/>
    <xf numFmtId="167" fontId="16" fillId="17" borderId="0" xfId="30" applyNumberFormat="1" applyFont="1" applyFill="1" applyAlignment="1">
      <alignment horizontal="center"/>
    </xf>
    <xf numFmtId="167" fontId="16" fillId="17" borderId="0" xfId="21" applyNumberFormat="1" applyFont="1" applyFill="1" applyAlignment="1">
      <alignment horizontal="center"/>
    </xf>
    <xf numFmtId="0" fontId="51" fillId="20" borderId="0" xfId="21" applyFont="1" applyFill="1"/>
    <xf numFmtId="0" fontId="16" fillId="20" borderId="0" xfId="21" applyFont="1" applyFill="1"/>
    <xf numFmtId="0" fontId="51" fillId="21" borderId="0" xfId="21" applyFont="1" applyFill="1"/>
    <xf numFmtId="0" fontId="16" fillId="21" borderId="0" xfId="21" applyFont="1" applyFill="1"/>
    <xf numFmtId="0" fontId="51" fillId="22" borderId="0" xfId="21" applyFont="1" applyFill="1"/>
    <xf numFmtId="0" fontId="16" fillId="22" borderId="0" xfId="21" applyFont="1" applyFill="1"/>
    <xf numFmtId="0" fontId="51" fillId="23" borderId="0" xfId="21" applyFont="1" applyFill="1"/>
    <xf numFmtId="0" fontId="16" fillId="23" borderId="0" xfId="21" applyFont="1" applyFill="1"/>
    <xf numFmtId="0" fontId="51" fillId="24" borderId="0" xfId="21" applyFont="1" applyFill="1"/>
    <xf numFmtId="0" fontId="16" fillId="24" borderId="0" xfId="21" applyFont="1" applyFill="1"/>
    <xf numFmtId="9" fontId="16" fillId="23" borderId="0" xfId="21" applyNumberFormat="1" applyFont="1" applyFill="1"/>
    <xf numFmtId="0" fontId="16" fillId="22" borderId="0" xfId="21" applyFont="1" applyFill="1" applyAlignment="1">
      <alignment horizontal="center"/>
    </xf>
    <xf numFmtId="0" fontId="16" fillId="25" borderId="0" xfId="21" applyFont="1" applyFill="1"/>
    <xf numFmtId="9" fontId="16" fillId="22" borderId="0" xfId="21" applyNumberFormat="1" applyFont="1" applyFill="1"/>
    <xf numFmtId="9" fontId="16" fillId="22" borderId="0" xfId="30" applyFont="1" applyFill="1"/>
    <xf numFmtId="0" fontId="16" fillId="23" borderId="0" xfId="21" applyFont="1" applyFill="1" applyAlignment="1">
      <alignment horizontal="center"/>
    </xf>
    <xf numFmtId="167" fontId="16" fillId="22" borderId="0" xfId="30" applyNumberFormat="1" applyFont="1" applyFill="1" applyAlignment="1">
      <alignment horizontal="center"/>
    </xf>
    <xf numFmtId="167" fontId="16" fillId="23" borderId="0" xfId="30" applyNumberFormat="1" applyFont="1" applyFill="1" applyAlignment="1">
      <alignment horizontal="center"/>
    </xf>
    <xf numFmtId="0" fontId="16" fillId="26" borderId="0" xfId="21" applyFont="1" applyFill="1"/>
    <xf numFmtId="0" fontId="51" fillId="26" borderId="0" xfId="21" applyFont="1" applyFill="1"/>
    <xf numFmtId="0" fontId="16" fillId="26" borderId="0" xfId="21" applyFont="1" applyFill="1" applyAlignment="1">
      <alignment horizontal="center"/>
    </xf>
    <xf numFmtId="0" fontId="51" fillId="25" borderId="0" xfId="21" applyFont="1" applyFill="1"/>
    <xf numFmtId="167" fontId="16" fillId="26" borderId="0" xfId="30" applyNumberFormat="1" applyFont="1" applyFill="1"/>
    <xf numFmtId="9" fontId="16" fillId="26" borderId="0" xfId="21" applyNumberFormat="1" applyFont="1" applyFill="1"/>
    <xf numFmtId="167" fontId="16" fillId="26" borderId="0" xfId="30" applyNumberFormat="1" applyFont="1" applyFill="1" applyAlignment="1">
      <alignment horizontal="center"/>
    </xf>
    <xf numFmtId="167" fontId="16" fillId="26" borderId="0" xfId="21" applyNumberFormat="1" applyFont="1" applyFill="1"/>
    <xf numFmtId="0" fontId="51" fillId="27" borderId="0" xfId="21" applyFont="1" applyFill="1"/>
    <xf numFmtId="0" fontId="16" fillId="27" borderId="0" xfId="21" applyFont="1" applyFill="1"/>
    <xf numFmtId="0" fontId="16" fillId="27" borderId="0" xfId="21" quotePrefix="1" applyFont="1" applyFill="1"/>
    <xf numFmtId="0" fontId="51" fillId="28" borderId="0" xfId="21" applyFont="1" applyFill="1"/>
    <xf numFmtId="0" fontId="16" fillId="28" borderId="0" xfId="21" applyFont="1" applyFill="1"/>
    <xf numFmtId="0" fontId="51" fillId="29" borderId="0" xfId="21" applyFont="1" applyFill="1"/>
    <xf numFmtId="0" fontId="16" fillId="29" borderId="0" xfId="21" applyFont="1" applyFill="1"/>
    <xf numFmtId="0" fontId="51" fillId="30" borderId="0" xfId="21" applyFont="1" applyFill="1"/>
    <xf numFmtId="0" fontId="16" fillId="30" borderId="0" xfId="21" applyFont="1" applyFill="1"/>
    <xf numFmtId="0" fontId="51" fillId="31" borderId="0" xfId="21" applyFont="1" applyFill="1"/>
    <xf numFmtId="0" fontId="16" fillId="31" borderId="0" xfId="21" applyFont="1" applyFill="1"/>
    <xf numFmtId="0" fontId="51" fillId="32" borderId="0" xfId="21" applyFont="1" applyFill="1"/>
    <xf numFmtId="0" fontId="16" fillId="32" borderId="0" xfId="21" applyFont="1" applyFill="1"/>
    <xf numFmtId="0" fontId="51" fillId="33" borderId="0" xfId="21" applyFont="1" applyFill="1"/>
    <xf numFmtId="0" fontId="16" fillId="33" borderId="0" xfId="21" applyFont="1" applyFill="1"/>
    <xf numFmtId="0" fontId="16" fillId="25" borderId="0" xfId="21" quotePrefix="1" applyFont="1" applyFill="1"/>
    <xf numFmtId="0" fontId="16" fillId="0" borderId="0" xfId="21" applyFont="1" applyFill="1"/>
    <xf numFmtId="15" fontId="0" fillId="0" borderId="0" xfId="0" applyNumberFormat="1"/>
    <xf numFmtId="14" fontId="0" fillId="0" borderId="0" xfId="0" applyNumberFormat="1"/>
    <xf numFmtId="0" fontId="0" fillId="0" borderId="0" xfId="0" applyAlignment="1">
      <alignment wrapText="1"/>
    </xf>
    <xf numFmtId="0" fontId="193" fillId="0" borderId="0" xfId="0" applyFont="1"/>
    <xf numFmtId="0" fontId="232" fillId="0" borderId="0" xfId="0" applyFont="1"/>
    <xf numFmtId="49" fontId="0" fillId="0" borderId="0" xfId="0" applyNumberFormat="1"/>
    <xf numFmtId="0" fontId="231" fillId="2" borderId="0" xfId="811"/>
    <xf numFmtId="49" fontId="231" fillId="2" borderId="0" xfId="811" applyNumberFormat="1"/>
    <xf numFmtId="0" fontId="0" fillId="82" borderId="0" xfId="813" applyFont="1"/>
    <xf numFmtId="0" fontId="1" fillId="82" borderId="0" xfId="813"/>
    <xf numFmtId="0" fontId="231" fillId="86" borderId="0" xfId="817"/>
    <xf numFmtId="0" fontId="0" fillId="0" borderId="107" xfId="0" applyBorder="1"/>
    <xf numFmtId="0" fontId="0" fillId="0" borderId="108" xfId="0" applyBorder="1"/>
    <xf numFmtId="0" fontId="0" fillId="0" borderId="109" xfId="0" applyBorder="1"/>
    <xf numFmtId="0" fontId="233" fillId="13" borderId="110" xfId="29" applyFont="1" applyBorder="1"/>
    <xf numFmtId="0" fontId="0" fillId="0" borderId="111" xfId="0" applyBorder="1"/>
    <xf numFmtId="0" fontId="0" fillId="0" borderId="0" xfId="0" applyBorder="1"/>
    <xf numFmtId="0" fontId="0" fillId="0" borderId="112" xfId="0" applyBorder="1"/>
    <xf numFmtId="0" fontId="46" fillId="13" borderId="113" xfId="29" applyBorder="1"/>
    <xf numFmtId="0" fontId="231" fillId="86" borderId="57" xfId="817" applyBorder="1" applyAlignment="1">
      <alignment horizontal="center"/>
    </xf>
    <xf numFmtId="0" fontId="46" fillId="13" borderId="57" xfId="29" applyBorder="1" applyAlignment="1">
      <alignment horizontal="center"/>
    </xf>
    <xf numFmtId="1" fontId="46" fillId="13" borderId="114" xfId="29" applyNumberFormat="1" applyBorder="1" applyAlignment="1">
      <alignment horizontal="center"/>
    </xf>
    <xf numFmtId="1" fontId="46" fillId="13" borderId="57" xfId="29" applyNumberFormat="1" applyBorder="1" applyAlignment="1">
      <alignment horizontal="center"/>
    </xf>
    <xf numFmtId="0" fontId="234" fillId="13" borderId="111" xfId="29" applyFont="1" applyBorder="1"/>
    <xf numFmtId="49" fontId="46" fillId="13" borderId="0" xfId="29" applyNumberFormat="1"/>
    <xf numFmtId="0" fontId="0" fillId="0" borderId="115" xfId="0" applyBorder="1"/>
    <xf numFmtId="9" fontId="231" fillId="86" borderId="0" xfId="817" applyNumberFormat="1" applyBorder="1"/>
    <xf numFmtId="9" fontId="0" fillId="0" borderId="0" xfId="1" applyFont="1" applyBorder="1"/>
    <xf numFmtId="0" fontId="234" fillId="0" borderId="111" xfId="0" applyFont="1" applyBorder="1"/>
    <xf numFmtId="0" fontId="234" fillId="0" borderId="0" xfId="0" applyFont="1" applyBorder="1"/>
    <xf numFmtId="0" fontId="234" fillId="0" borderId="112" xfId="0" applyFont="1" applyBorder="1"/>
    <xf numFmtId="0" fontId="46" fillId="13" borderId="116" xfId="29" applyBorder="1"/>
    <xf numFmtId="9" fontId="234" fillId="0" borderId="0" xfId="1" applyFont="1" applyBorder="1"/>
    <xf numFmtId="167" fontId="234" fillId="0" borderId="111" xfId="0" applyNumberFormat="1" applyFont="1" applyBorder="1"/>
    <xf numFmtId="9" fontId="234" fillId="0" borderId="111" xfId="1" applyFont="1" applyFill="1" applyBorder="1"/>
    <xf numFmtId="9" fontId="234" fillId="0" borderId="0" xfId="1" applyFont="1" applyFill="1" applyBorder="1"/>
    <xf numFmtId="167" fontId="234" fillId="0" borderId="0" xfId="0" applyNumberFormat="1" applyFont="1" applyBorder="1"/>
    <xf numFmtId="0" fontId="230" fillId="32" borderId="117" xfId="29" applyFont="1" applyFill="1" applyBorder="1"/>
    <xf numFmtId="9" fontId="230" fillId="84" borderId="0" xfId="815" applyNumberFormat="1" applyFont="1" applyBorder="1"/>
    <xf numFmtId="167" fontId="234" fillId="84" borderId="111" xfId="815" applyNumberFormat="1" applyFont="1" applyBorder="1"/>
    <xf numFmtId="0" fontId="231" fillId="86" borderId="0" xfId="817" applyBorder="1"/>
    <xf numFmtId="0" fontId="46" fillId="13" borderId="115" xfId="29" applyBorder="1"/>
    <xf numFmtId="0" fontId="231" fillId="86" borderId="0" xfId="817" applyBorder="1" applyAlignment="1">
      <alignment horizontal="center"/>
    </xf>
    <xf numFmtId="0" fontId="46" fillId="13" borderId="0" xfId="29" applyBorder="1" applyAlignment="1">
      <alignment horizontal="center"/>
    </xf>
    <xf numFmtId="1" fontId="46" fillId="13" borderId="0" xfId="29" applyNumberFormat="1" applyBorder="1" applyAlignment="1">
      <alignment horizontal="center"/>
    </xf>
    <xf numFmtId="0" fontId="46" fillId="13" borderId="0" xfId="29" applyBorder="1"/>
    <xf numFmtId="9" fontId="234" fillId="0" borderId="111" xfId="1" applyFont="1" applyBorder="1"/>
    <xf numFmtId="1" fontId="0" fillId="0" borderId="0" xfId="0" applyNumberFormat="1"/>
    <xf numFmtId="0" fontId="234" fillId="13" borderId="0" xfId="29" applyFont="1" applyBorder="1"/>
    <xf numFmtId="0" fontId="1" fillId="85" borderId="0" xfId="816" applyBorder="1"/>
    <xf numFmtId="0" fontId="234" fillId="85" borderId="111" xfId="816" applyFont="1" applyBorder="1"/>
    <xf numFmtId="0" fontId="234" fillId="85" borderId="0" xfId="816" applyFont="1" applyBorder="1"/>
    <xf numFmtId="0" fontId="234" fillId="85" borderId="112" xfId="816" applyFont="1" applyBorder="1"/>
    <xf numFmtId="167" fontId="230" fillId="84" borderId="0" xfId="815" applyNumberFormat="1" applyFont="1" applyBorder="1"/>
    <xf numFmtId="9" fontId="234" fillId="84" borderId="111" xfId="1" applyFont="1" applyFill="1" applyBorder="1"/>
    <xf numFmtId="0" fontId="233" fillId="13" borderId="117" xfId="29" applyFont="1" applyBorder="1"/>
    <xf numFmtId="38" fontId="46" fillId="13" borderId="0" xfId="29" applyNumberFormat="1" applyBorder="1"/>
    <xf numFmtId="38" fontId="234" fillId="13" borderId="111" xfId="29" applyNumberFormat="1" applyFont="1" applyBorder="1"/>
    <xf numFmtId="38" fontId="234" fillId="13" borderId="0" xfId="29" applyNumberFormat="1" applyFont="1" applyBorder="1"/>
    <xf numFmtId="38" fontId="234" fillId="13" borderId="112" xfId="29" applyNumberFormat="1" applyFont="1" applyBorder="1"/>
    <xf numFmtId="9" fontId="234" fillId="13" borderId="0" xfId="1" applyFont="1" applyFill="1" applyBorder="1"/>
    <xf numFmtId="0" fontId="235" fillId="0" borderId="57" xfId="21" applyFont="1" applyBorder="1" applyAlignment="1">
      <alignment horizontal="center"/>
    </xf>
    <xf numFmtId="1" fontId="235" fillId="0" borderId="114" xfId="21" applyNumberFormat="1" applyFont="1" applyBorder="1" applyAlignment="1">
      <alignment horizontal="center"/>
    </xf>
    <xf numFmtId="9" fontId="0" fillId="0" borderId="0" xfId="0" applyNumberFormat="1" applyBorder="1"/>
    <xf numFmtId="167" fontId="234" fillId="0" borderId="111" xfId="29" applyNumberFormat="1" applyFont="1" applyFill="1" applyBorder="1"/>
    <xf numFmtId="167" fontId="234" fillId="0" borderId="0" xfId="29" applyNumberFormat="1" applyFont="1" applyFill="1" applyBorder="1"/>
    <xf numFmtId="167" fontId="234" fillId="0" borderId="112" xfId="29" applyNumberFormat="1" applyFont="1" applyFill="1" applyBorder="1"/>
    <xf numFmtId="49" fontId="234" fillId="0" borderId="0" xfId="29" applyNumberFormat="1" applyFont="1" applyFill="1"/>
    <xf numFmtId="9" fontId="235" fillId="0" borderId="0" xfId="30" applyFont="1" applyBorder="1" applyAlignment="1">
      <alignment horizontal="center"/>
    </xf>
    <xf numFmtId="9" fontId="0" fillId="87" borderId="0" xfId="0" applyNumberFormat="1" applyFill="1" applyBorder="1"/>
    <xf numFmtId="0" fontId="15" fillId="0" borderId="115" xfId="21" applyBorder="1" applyAlignment="1">
      <alignment horizontal="center"/>
    </xf>
    <xf numFmtId="0" fontId="15" fillId="0" borderId="0" xfId="21" applyBorder="1" applyAlignment="1">
      <alignment horizontal="center"/>
    </xf>
    <xf numFmtId="1" fontId="15" fillId="0" borderId="58" xfId="21" applyNumberFormat="1" applyBorder="1" applyAlignment="1">
      <alignment horizontal="center"/>
    </xf>
    <xf numFmtId="9" fontId="46" fillId="13" borderId="0" xfId="29" applyNumberFormat="1" applyBorder="1"/>
    <xf numFmtId="167" fontId="234" fillId="13" borderId="111" xfId="29" applyNumberFormat="1" applyFont="1" applyBorder="1"/>
    <xf numFmtId="167" fontId="234" fillId="13" borderId="0" xfId="29" applyNumberFormat="1" applyFont="1" applyBorder="1"/>
    <xf numFmtId="167" fontId="234" fillId="13" borderId="112" xfId="29" applyNumberFormat="1" applyFont="1" applyBorder="1"/>
    <xf numFmtId="167" fontId="0" fillId="0" borderId="0" xfId="30" applyNumberFormat="1" applyFont="1" applyBorder="1" applyAlignment="1">
      <alignment horizontal="center"/>
    </xf>
    <xf numFmtId="167" fontId="0" fillId="0" borderId="58" xfId="30" applyNumberFormat="1" applyFont="1" applyBorder="1" applyAlignment="1">
      <alignment horizontal="center"/>
    </xf>
    <xf numFmtId="167" fontId="230" fillId="32" borderId="0" xfId="29" applyNumberFormat="1" applyFont="1" applyFill="1" applyBorder="1"/>
    <xf numFmtId="167" fontId="234" fillId="32" borderId="111" xfId="29" applyNumberFormat="1" applyFont="1" applyFill="1" applyBorder="1"/>
    <xf numFmtId="167" fontId="234" fillId="32" borderId="0" xfId="29" applyNumberFormat="1" applyFont="1" applyFill="1" applyBorder="1"/>
    <xf numFmtId="0" fontId="230" fillId="13" borderId="117" xfId="29" applyFont="1" applyBorder="1"/>
    <xf numFmtId="167" fontId="230" fillId="13" borderId="0" xfId="29" applyNumberFormat="1" applyFont="1" applyBorder="1"/>
    <xf numFmtId="38" fontId="236" fillId="13" borderId="0" xfId="29" applyNumberFormat="1" applyFont="1" applyBorder="1"/>
    <xf numFmtId="0" fontId="46" fillId="13" borderId="117" xfId="29" applyBorder="1"/>
    <xf numFmtId="167" fontId="46" fillId="13" borderId="0" xfId="1" applyNumberFormat="1" applyFont="1" applyFill="1" applyBorder="1"/>
    <xf numFmtId="167" fontId="234" fillId="13" borderId="111" xfId="1" applyNumberFormat="1" applyFont="1" applyFill="1" applyBorder="1"/>
    <xf numFmtId="167" fontId="234" fillId="13" borderId="0" xfId="1" applyNumberFormat="1" applyFont="1" applyFill="1" applyBorder="1"/>
    <xf numFmtId="167" fontId="234" fillId="13" borderId="112" xfId="1" applyNumberFormat="1" applyFont="1" applyFill="1" applyBorder="1"/>
    <xf numFmtId="0" fontId="0" fillId="3" borderId="115" xfId="812" applyFont="1" applyBorder="1"/>
    <xf numFmtId="0" fontId="46" fillId="13" borderId="119" xfId="29" applyBorder="1"/>
    <xf numFmtId="0" fontId="231" fillId="86" borderId="60" xfId="817" applyBorder="1"/>
    <xf numFmtId="167" fontId="46" fillId="13" borderId="60" xfId="1" applyNumberFormat="1" applyFont="1" applyFill="1" applyBorder="1"/>
    <xf numFmtId="167" fontId="234" fillId="13" borderId="60" xfId="1" applyNumberFormat="1" applyFont="1" applyFill="1" applyBorder="1"/>
    <xf numFmtId="38" fontId="0" fillId="0" borderId="0" xfId="0" applyNumberFormat="1"/>
    <xf numFmtId="38" fontId="234" fillId="0" borderId="111" xfId="0" applyNumberFormat="1" applyFont="1" applyBorder="1"/>
    <xf numFmtId="38" fontId="234" fillId="0" borderId="0" xfId="0" applyNumberFormat="1" applyFont="1" applyBorder="1"/>
    <xf numFmtId="38" fontId="234" fillId="0" borderId="112" xfId="0" applyNumberFormat="1" applyFont="1" applyBorder="1"/>
    <xf numFmtId="0" fontId="0" fillId="0" borderId="113" xfId="0" applyBorder="1"/>
    <xf numFmtId="0" fontId="231" fillId="86" borderId="57" xfId="817" applyBorder="1"/>
    <xf numFmtId="38" fontId="0" fillId="0" borderId="57" xfId="0" applyNumberFormat="1" applyBorder="1"/>
    <xf numFmtId="38" fontId="234" fillId="0" borderId="121" xfId="0" applyNumberFormat="1" applyFont="1" applyBorder="1"/>
    <xf numFmtId="38" fontId="234" fillId="0" borderId="57" xfId="0" applyNumberFormat="1" applyFont="1" applyBorder="1"/>
    <xf numFmtId="38" fontId="234" fillId="0" borderId="122" xfId="0" applyNumberFormat="1" applyFont="1" applyBorder="1"/>
    <xf numFmtId="0" fontId="17" fillId="5" borderId="123" xfId="18" applyBorder="1"/>
    <xf numFmtId="38" fontId="17" fillId="5" borderId="0" xfId="18" applyNumberFormat="1" applyBorder="1"/>
    <xf numFmtId="38" fontId="234" fillId="5" borderId="111" xfId="18" applyNumberFormat="1" applyFont="1" applyBorder="1"/>
    <xf numFmtId="38" fontId="234" fillId="5" borderId="0" xfId="18" applyNumberFormat="1" applyFont="1" applyBorder="1"/>
    <xf numFmtId="38" fontId="234" fillId="5" borderId="118" xfId="18" applyNumberFormat="1" applyFont="1" applyBorder="1"/>
    <xf numFmtId="0" fontId="17" fillId="5" borderId="116" xfId="18" applyBorder="1"/>
    <xf numFmtId="9" fontId="17" fillId="5" borderId="0" xfId="18" applyNumberFormat="1" applyBorder="1"/>
    <xf numFmtId="9" fontId="234" fillId="5" borderId="111" xfId="1" applyFont="1" applyFill="1" applyBorder="1"/>
    <xf numFmtId="9" fontId="234" fillId="5" borderId="0" xfId="1" applyFont="1" applyFill="1" applyBorder="1"/>
    <xf numFmtId="9" fontId="234" fillId="5" borderId="118" xfId="1" applyFont="1" applyFill="1" applyBorder="1"/>
    <xf numFmtId="0" fontId="17" fillId="5" borderId="124" xfId="18" applyBorder="1"/>
    <xf numFmtId="167" fontId="234" fillId="5" borderId="111" xfId="18" applyNumberFormat="1" applyFont="1" applyBorder="1"/>
    <xf numFmtId="167" fontId="234" fillId="5" borderId="0" xfId="18" applyNumberFormat="1" applyFont="1" applyBorder="1"/>
    <xf numFmtId="167" fontId="234" fillId="5" borderId="112" xfId="18" applyNumberFormat="1" applyFont="1" applyBorder="1"/>
    <xf numFmtId="0" fontId="17" fillId="88" borderId="116" xfId="18" applyFill="1" applyBorder="1"/>
    <xf numFmtId="167" fontId="17" fillId="88" borderId="0" xfId="18" applyNumberFormat="1" applyFill="1" applyBorder="1"/>
    <xf numFmtId="9" fontId="234" fillId="88" borderId="111" xfId="1" applyFont="1" applyFill="1" applyBorder="1"/>
    <xf numFmtId="0" fontId="17" fillId="5" borderId="117" xfId="18" applyBorder="1"/>
    <xf numFmtId="38" fontId="234" fillId="5" borderId="112" xfId="18" applyNumberFormat="1" applyFont="1" applyBorder="1"/>
    <xf numFmtId="0" fontId="230" fillId="5" borderId="116" xfId="18" applyFont="1" applyBorder="1"/>
    <xf numFmtId="167" fontId="230" fillId="5" borderId="0" xfId="18" applyNumberFormat="1" applyFont="1" applyBorder="1"/>
    <xf numFmtId="38" fontId="236" fillId="5" borderId="0" xfId="18" applyNumberFormat="1" applyFont="1" applyBorder="1"/>
    <xf numFmtId="167" fontId="17" fillId="5" borderId="0" xfId="18" applyNumberFormat="1" applyBorder="1"/>
    <xf numFmtId="38" fontId="234" fillId="80" borderId="111" xfId="808" applyNumberFormat="1" applyFont="1" applyBorder="1"/>
    <xf numFmtId="0" fontId="17" fillId="5" borderId="119" xfId="18" applyBorder="1"/>
    <xf numFmtId="167" fontId="17" fillId="5" borderId="60" xfId="18" applyNumberFormat="1" applyBorder="1"/>
    <xf numFmtId="167" fontId="234" fillId="5" borderId="120" xfId="18" applyNumberFormat="1" applyFont="1" applyBorder="1"/>
    <xf numFmtId="297" fontId="0" fillId="0" borderId="0" xfId="0" applyNumberFormat="1"/>
    <xf numFmtId="0" fontId="0" fillId="0" borderId="110" xfId="0" applyBorder="1"/>
    <xf numFmtId="167" fontId="0" fillId="0" borderId="0" xfId="1" applyNumberFormat="1" applyFont="1"/>
    <xf numFmtId="167" fontId="234" fillId="0" borderId="111" xfId="1" applyNumberFormat="1" applyFont="1" applyBorder="1"/>
    <xf numFmtId="0" fontId="1" fillId="3" borderId="125" xfId="812" applyBorder="1"/>
    <xf numFmtId="38" fontId="234" fillId="89" borderId="111" xfId="812" applyNumberFormat="1" applyFont="1" applyFill="1" applyBorder="1"/>
    <xf numFmtId="38" fontId="234" fillId="89" borderId="0" xfId="812" applyNumberFormat="1" applyFont="1" applyFill="1" applyBorder="1"/>
    <xf numFmtId="38" fontId="234" fillId="89" borderId="112" xfId="812" applyNumberFormat="1" applyFont="1" applyFill="1" applyBorder="1"/>
    <xf numFmtId="0" fontId="1" fillId="3" borderId="123" xfId="812" applyBorder="1"/>
    <xf numFmtId="38" fontId="1" fillId="3" borderId="0" xfId="812" applyNumberFormat="1" applyBorder="1"/>
    <xf numFmtId="0" fontId="234" fillId="3" borderId="111" xfId="812" applyFont="1" applyBorder="1"/>
    <xf numFmtId="0" fontId="234" fillId="3" borderId="0" xfId="812" applyFont="1"/>
    <xf numFmtId="167" fontId="0" fillId="0" borderId="0" xfId="0" applyNumberFormat="1" applyBorder="1"/>
    <xf numFmtId="0" fontId="1" fillId="3" borderId="116" xfId="812" applyBorder="1"/>
    <xf numFmtId="167" fontId="1" fillId="3" borderId="0" xfId="812" applyNumberFormat="1" applyBorder="1"/>
    <xf numFmtId="9" fontId="234" fillId="3" borderId="111" xfId="1" applyFont="1" applyFill="1" applyBorder="1"/>
    <xf numFmtId="9" fontId="234" fillId="3" borderId="0" xfId="1" applyFont="1" applyFill="1" applyBorder="1"/>
    <xf numFmtId="9" fontId="234" fillId="3" borderId="112" xfId="1" applyFont="1" applyFill="1" applyBorder="1"/>
    <xf numFmtId="0" fontId="0" fillId="3" borderId="124" xfId="812" applyFont="1" applyBorder="1"/>
    <xf numFmtId="0" fontId="1" fillId="3" borderId="117" xfId="812" applyBorder="1"/>
    <xf numFmtId="0" fontId="230" fillId="90" borderId="116" xfId="812" applyFont="1" applyFill="1" applyBorder="1"/>
    <xf numFmtId="167" fontId="230" fillId="90" borderId="0" xfId="812" applyNumberFormat="1" applyFont="1" applyFill="1" applyBorder="1"/>
    <xf numFmtId="9" fontId="234" fillId="90" borderId="111" xfId="1" applyFont="1" applyFill="1" applyBorder="1"/>
    <xf numFmtId="38" fontId="234" fillId="3" borderId="111" xfId="812" applyNumberFormat="1" applyFont="1" applyBorder="1"/>
    <xf numFmtId="38" fontId="234" fillId="3" borderId="0" xfId="812" applyNumberFormat="1" applyFont="1" applyBorder="1"/>
    <xf numFmtId="38" fontId="234" fillId="3" borderId="112" xfId="812" applyNumberFormat="1" applyFont="1" applyBorder="1"/>
    <xf numFmtId="0" fontId="1" fillId="3" borderId="124" xfId="812" applyBorder="1"/>
    <xf numFmtId="1" fontId="1" fillId="3" borderId="0" xfId="812" applyNumberFormat="1" applyBorder="1"/>
    <xf numFmtId="38" fontId="234" fillId="88" borderId="111" xfId="812" applyNumberFormat="1" applyFont="1" applyFill="1" applyBorder="1"/>
    <xf numFmtId="38" fontId="234" fillId="88" borderId="0" xfId="812" applyNumberFormat="1" applyFont="1" applyFill="1" applyBorder="1"/>
    <xf numFmtId="38" fontId="237" fillId="3" borderId="0" xfId="812" applyNumberFormat="1" applyFont="1" applyBorder="1"/>
    <xf numFmtId="0" fontId="0" fillId="3" borderId="126" xfId="812" applyFont="1" applyBorder="1"/>
    <xf numFmtId="167" fontId="1" fillId="3" borderId="60" xfId="812" applyNumberFormat="1" applyBorder="1"/>
    <xf numFmtId="9" fontId="234" fillId="3" borderId="120" xfId="1" applyFont="1" applyFill="1" applyBorder="1"/>
    <xf numFmtId="9" fontId="0" fillId="0" borderId="0" xfId="1" applyFont="1"/>
    <xf numFmtId="0" fontId="231" fillId="83" borderId="127" xfId="814" applyBorder="1"/>
    <xf numFmtId="38" fontId="231" fillId="0" borderId="57" xfId="814" applyNumberFormat="1" applyFill="1" applyBorder="1"/>
    <xf numFmtId="38" fontId="234" fillId="0" borderId="121" xfId="814" applyNumberFormat="1" applyFont="1" applyFill="1" applyBorder="1"/>
    <xf numFmtId="38" fontId="234" fillId="0" borderId="57" xfId="814" applyNumberFormat="1" applyFont="1" applyFill="1" applyBorder="1"/>
    <xf numFmtId="38" fontId="234" fillId="0" borderId="122" xfId="814" applyNumberFormat="1" applyFont="1" applyFill="1" applyBorder="1"/>
    <xf numFmtId="0" fontId="231" fillId="83" borderId="123" xfId="814" applyBorder="1"/>
    <xf numFmtId="38" fontId="231" fillId="83" borderId="0" xfId="814" applyNumberFormat="1" applyBorder="1"/>
    <xf numFmtId="38" fontId="234" fillId="83" borderId="111" xfId="814" applyNumberFormat="1" applyFont="1" applyBorder="1"/>
    <xf numFmtId="38" fontId="234" fillId="83" borderId="0" xfId="814" applyNumberFormat="1" applyFont="1" applyBorder="1"/>
    <xf numFmtId="38" fontId="234" fillId="83" borderId="112" xfId="814" applyNumberFormat="1" applyFont="1" applyBorder="1"/>
    <xf numFmtId="38" fontId="231" fillId="0" borderId="0" xfId="814" applyNumberFormat="1" applyFill="1" applyBorder="1"/>
    <xf numFmtId="38" fontId="234" fillId="0" borderId="111" xfId="814" applyNumberFormat="1" applyFont="1" applyFill="1" applyBorder="1"/>
    <xf numFmtId="38" fontId="234" fillId="0" borderId="0" xfId="814" applyNumberFormat="1" applyFont="1" applyFill="1" applyBorder="1"/>
    <xf numFmtId="38" fontId="234" fillId="0" borderId="112" xfId="814" applyNumberFormat="1" applyFont="1" applyFill="1" applyBorder="1"/>
    <xf numFmtId="0" fontId="231" fillId="83" borderId="116" xfId="814" applyBorder="1"/>
    <xf numFmtId="0" fontId="231" fillId="83" borderId="124" xfId="814" applyBorder="1"/>
    <xf numFmtId="0" fontId="231" fillId="83" borderId="117" xfId="814" applyBorder="1"/>
    <xf numFmtId="0" fontId="230" fillId="83" borderId="116" xfId="814" applyFont="1" applyBorder="1"/>
    <xf numFmtId="167" fontId="230" fillId="83" borderId="0" xfId="814" applyNumberFormat="1" applyFont="1" applyBorder="1"/>
    <xf numFmtId="0" fontId="51" fillId="0" borderId="115" xfId="21" applyFont="1" applyFill="1" applyBorder="1"/>
    <xf numFmtId="167" fontId="235" fillId="0" borderId="0" xfId="30" applyNumberFormat="1" applyFont="1" applyBorder="1" applyAlignment="1">
      <alignment horizontal="center"/>
    </xf>
    <xf numFmtId="167" fontId="235" fillId="0" borderId="58" xfId="30" applyNumberFormat="1" applyFont="1" applyBorder="1" applyAlignment="1">
      <alignment horizontal="center"/>
    </xf>
    <xf numFmtId="167" fontId="231" fillId="83" borderId="0" xfId="814" applyNumberFormat="1" applyBorder="1"/>
    <xf numFmtId="0" fontId="231" fillId="83" borderId="115" xfId="814" applyBorder="1"/>
    <xf numFmtId="167" fontId="234" fillId="83" borderId="111" xfId="814" applyNumberFormat="1" applyFont="1" applyBorder="1"/>
    <xf numFmtId="167" fontId="234" fillId="83" borderId="0" xfId="814" applyNumberFormat="1" applyFont="1" applyBorder="1"/>
    <xf numFmtId="167" fontId="234" fillId="83" borderId="112" xfId="814" applyNumberFormat="1" applyFont="1" applyBorder="1"/>
    <xf numFmtId="0" fontId="231" fillId="83" borderId="126" xfId="814" applyBorder="1"/>
    <xf numFmtId="167" fontId="231" fillId="83" borderId="60" xfId="814" applyNumberFormat="1" applyBorder="1"/>
    <xf numFmtId="0" fontId="238" fillId="91" borderId="57" xfId="21" applyFont="1" applyFill="1" applyBorder="1" applyAlignment="1">
      <alignment horizontal="center"/>
    </xf>
    <xf numFmtId="0" fontId="238" fillId="91" borderId="56" xfId="21" applyFont="1" applyFill="1" applyBorder="1" applyAlignment="1">
      <alignment horizontal="center"/>
    </xf>
    <xf numFmtId="0" fontId="231" fillId="2" borderId="0" xfId="811" applyBorder="1"/>
    <xf numFmtId="0" fontId="231" fillId="2" borderId="111" xfId="811" applyBorder="1"/>
    <xf numFmtId="0" fontId="231" fillId="2" borderId="112" xfId="811" applyBorder="1"/>
    <xf numFmtId="1" fontId="235" fillId="0" borderId="57" xfId="21" applyNumberFormat="1" applyFont="1" applyBorder="1" applyAlignment="1">
      <alignment horizontal="center"/>
    </xf>
    <xf numFmtId="1" fontId="15" fillId="0" borderId="0" xfId="21" applyNumberFormat="1" applyBorder="1" applyAlignment="1">
      <alignment horizontal="center"/>
    </xf>
    <xf numFmtId="0" fontId="230" fillId="32" borderId="0" xfId="29" applyFont="1" applyFill="1" applyBorder="1"/>
    <xf numFmtId="0" fontId="239" fillId="0" borderId="0" xfId="581" applyFont="1" applyAlignment="1">
      <alignment horizontal="center"/>
    </xf>
    <xf numFmtId="0" fontId="231" fillId="86" borderId="0" xfId="817" applyAlignment="1">
      <alignment horizontal="center"/>
    </xf>
    <xf numFmtId="0" fontId="240" fillId="0" borderId="0" xfId="581" applyFont="1" applyAlignment="1">
      <alignment horizontal="center"/>
    </xf>
    <xf numFmtId="38" fontId="240" fillId="0" borderId="0" xfId="581" applyNumberFormat="1" applyFont="1" applyAlignment="1">
      <alignment horizontal="center"/>
    </xf>
    <xf numFmtId="0" fontId="240" fillId="0" borderId="111" xfId="581" applyFont="1" applyBorder="1" applyAlignment="1">
      <alignment horizontal="center"/>
    </xf>
    <xf numFmtId="0" fontId="240" fillId="0" borderId="0" xfId="581" applyFont="1" applyBorder="1" applyAlignment="1">
      <alignment horizontal="center"/>
    </xf>
    <xf numFmtId="0" fontId="240" fillId="0" borderId="112" xfId="581" applyFont="1" applyBorder="1" applyAlignment="1">
      <alignment horizontal="center"/>
    </xf>
    <xf numFmtId="0" fontId="230" fillId="13" borderId="0" xfId="29" applyFont="1" applyBorder="1"/>
    <xf numFmtId="9" fontId="241" fillId="0" borderId="0" xfId="30" applyFont="1" applyAlignment="1">
      <alignment horizontal="center"/>
    </xf>
    <xf numFmtId="9" fontId="241" fillId="0" borderId="111" xfId="30" applyFont="1" applyBorder="1" applyAlignment="1">
      <alignment horizontal="center"/>
    </xf>
    <xf numFmtId="9" fontId="241" fillId="0" borderId="0" xfId="30" applyFont="1" applyBorder="1" applyAlignment="1">
      <alignment horizontal="center"/>
    </xf>
    <xf numFmtId="9" fontId="241" fillId="0" borderId="112" xfId="30" applyFont="1" applyBorder="1" applyAlignment="1">
      <alignment horizontal="center"/>
    </xf>
    <xf numFmtId="0" fontId="242" fillId="32" borderId="0" xfId="581" applyFont="1" applyFill="1" applyAlignment="1">
      <alignment horizontal="left"/>
    </xf>
    <xf numFmtId="0" fontId="231" fillId="86" borderId="0" xfId="817" applyAlignment="1">
      <alignment horizontal="left"/>
    </xf>
    <xf numFmtId="1" fontId="242" fillId="32" borderId="0" xfId="581" applyNumberFormat="1" applyFont="1" applyFill="1" applyAlignment="1">
      <alignment horizontal="center"/>
    </xf>
    <xf numFmtId="1" fontId="242" fillId="32" borderId="111" xfId="581" applyNumberFormat="1" applyFont="1" applyFill="1" applyBorder="1" applyAlignment="1">
      <alignment horizontal="center"/>
    </xf>
    <xf numFmtId="1" fontId="242" fillId="32" borderId="0" xfId="581" applyNumberFormat="1" applyFont="1" applyFill="1" applyBorder="1" applyAlignment="1">
      <alignment horizontal="center"/>
    </xf>
    <xf numFmtId="1" fontId="242" fillId="32" borderId="112" xfId="581" applyNumberFormat="1" applyFont="1" applyFill="1" applyBorder="1" applyAlignment="1">
      <alignment horizontal="center"/>
    </xf>
    <xf numFmtId="0" fontId="46" fillId="13" borderId="128" xfId="29" applyBorder="1"/>
    <xf numFmtId="9" fontId="46" fillId="13" borderId="0" xfId="29" applyNumberFormat="1" applyAlignment="1">
      <alignment horizontal="center"/>
    </xf>
    <xf numFmtId="9" fontId="46" fillId="13" borderId="111" xfId="29" applyNumberFormat="1" applyBorder="1" applyAlignment="1">
      <alignment horizontal="center"/>
    </xf>
    <xf numFmtId="9" fontId="46" fillId="13" borderId="0" xfId="29" applyNumberFormat="1" applyBorder="1" applyAlignment="1">
      <alignment horizontal="center"/>
    </xf>
    <xf numFmtId="9" fontId="46" fillId="13" borderId="112" xfId="29" applyNumberFormat="1" applyBorder="1" applyAlignment="1">
      <alignment horizontal="center"/>
    </xf>
    <xf numFmtId="0" fontId="243" fillId="0" borderId="0" xfId="581" applyFont="1" applyAlignment="1">
      <alignment horizontal="left"/>
    </xf>
    <xf numFmtId="9" fontId="244" fillId="0" borderId="0" xfId="30" applyFont="1" applyAlignment="1">
      <alignment horizontal="center"/>
    </xf>
    <xf numFmtId="9" fontId="15" fillId="0" borderId="111" xfId="1" applyFont="1" applyBorder="1"/>
    <xf numFmtId="167" fontId="244" fillId="0" borderId="0" xfId="30" applyNumberFormat="1" applyFont="1" applyBorder="1" applyAlignment="1">
      <alignment horizontal="center"/>
    </xf>
    <xf numFmtId="167" fontId="244" fillId="0" borderId="112" xfId="30" applyNumberFormat="1" applyFont="1" applyBorder="1" applyAlignment="1">
      <alignment horizontal="center"/>
    </xf>
    <xf numFmtId="0" fontId="239" fillId="92" borderId="0" xfId="581" applyFont="1" applyFill="1" applyAlignment="1">
      <alignment horizontal="left"/>
    </xf>
    <xf numFmtId="0" fontId="1" fillId="85" borderId="0" xfId="816" applyAlignment="1">
      <alignment horizontal="center"/>
    </xf>
    <xf numFmtId="0" fontId="1" fillId="85" borderId="111" xfId="816" applyBorder="1" applyAlignment="1">
      <alignment horizontal="center"/>
    </xf>
    <xf numFmtId="0" fontId="1" fillId="85" borderId="0" xfId="816" applyBorder="1" applyAlignment="1">
      <alignment horizontal="center"/>
    </xf>
    <xf numFmtId="0" fontId="1" fillId="85" borderId="112" xfId="816" applyBorder="1" applyAlignment="1">
      <alignment horizontal="center"/>
    </xf>
    <xf numFmtId="0" fontId="239" fillId="0" borderId="0" xfId="581" applyFont="1" applyAlignment="1">
      <alignment horizontal="left"/>
    </xf>
    <xf numFmtId="0" fontId="15" fillId="0" borderId="0" xfId="21"/>
    <xf numFmtId="0" fontId="15" fillId="0" borderId="111" xfId="21" applyBorder="1"/>
    <xf numFmtId="1" fontId="239" fillId="0" borderId="0" xfId="581" applyNumberFormat="1" applyFont="1" applyAlignment="1">
      <alignment horizontal="center"/>
    </xf>
    <xf numFmtId="1" fontId="239" fillId="7" borderId="111" xfId="581" applyNumberFormat="1" applyFont="1" applyFill="1" applyBorder="1" applyAlignment="1">
      <alignment horizontal="center"/>
    </xf>
    <xf numFmtId="1" fontId="239" fillId="0" borderId="0" xfId="581" applyNumberFormat="1" applyFont="1" applyBorder="1" applyAlignment="1">
      <alignment horizontal="center"/>
    </xf>
    <xf numFmtId="9" fontId="0" fillId="0" borderId="0" xfId="0" applyNumberFormat="1"/>
    <xf numFmtId="0" fontId="242" fillId="0" borderId="0" xfId="581" applyFont="1" applyAlignment="1">
      <alignment horizontal="left"/>
    </xf>
    <xf numFmtId="1" fontId="242" fillId="0" borderId="0" xfId="581" applyNumberFormat="1" applyFont="1" applyAlignment="1">
      <alignment horizontal="center"/>
    </xf>
    <xf numFmtId="1" fontId="242" fillId="0" borderId="0" xfId="581" applyNumberFormat="1" applyFont="1" applyBorder="1" applyAlignment="1">
      <alignment horizontal="center"/>
    </xf>
    <xf numFmtId="1" fontId="242" fillId="0" borderId="112" xfId="581" applyNumberFormat="1" applyFont="1" applyBorder="1" applyAlignment="1">
      <alignment horizontal="center"/>
    </xf>
    <xf numFmtId="38" fontId="17" fillId="5" borderId="0" xfId="18" applyNumberFormat="1"/>
    <xf numFmtId="167" fontId="0" fillId="0" borderId="0" xfId="0" applyNumberFormat="1"/>
    <xf numFmtId="167" fontId="239" fillId="0" borderId="0" xfId="30" applyNumberFormat="1" applyFont="1" applyAlignment="1">
      <alignment horizontal="center"/>
    </xf>
    <xf numFmtId="167" fontId="239" fillId="0" borderId="111" xfId="30" applyNumberFormat="1" applyFont="1" applyBorder="1" applyAlignment="1">
      <alignment horizontal="center"/>
    </xf>
    <xf numFmtId="167" fontId="245" fillId="0" borderId="0" xfId="30" applyNumberFormat="1" applyFont="1" applyBorder="1" applyAlignment="1">
      <alignment horizontal="center"/>
    </xf>
    <xf numFmtId="167" fontId="245" fillId="0" borderId="112" xfId="30" applyNumberFormat="1" applyFont="1" applyBorder="1" applyAlignment="1">
      <alignment horizontal="center"/>
    </xf>
    <xf numFmtId="167" fontId="245" fillId="0" borderId="0" xfId="30" applyNumberFormat="1" applyFont="1" applyAlignment="1">
      <alignment horizontal="center"/>
    </xf>
    <xf numFmtId="1" fontId="246" fillId="0" borderId="111" xfId="30" applyNumberFormat="1" applyFont="1" applyBorder="1" applyAlignment="1">
      <alignment horizontal="center"/>
    </xf>
    <xf numFmtId="1" fontId="246" fillId="0" borderId="0" xfId="30" applyNumberFormat="1" applyFont="1" applyBorder="1" applyAlignment="1">
      <alignment horizontal="center"/>
    </xf>
    <xf numFmtId="217" fontId="239" fillId="0" borderId="0" xfId="0" applyNumberFormat="1" applyFont="1" applyAlignment="1">
      <alignment horizontal="center"/>
    </xf>
    <xf numFmtId="168" fontId="245" fillId="0" borderId="111" xfId="30" applyNumberFormat="1" applyFont="1" applyBorder="1" applyAlignment="1">
      <alignment horizontal="center"/>
    </xf>
    <xf numFmtId="0" fontId="247" fillId="0" borderId="0" xfId="581" applyFont="1" applyAlignment="1">
      <alignment horizontal="left"/>
    </xf>
    <xf numFmtId="167" fontId="245" fillId="0" borderId="111" xfId="30" applyNumberFormat="1" applyFont="1" applyBorder="1" applyAlignment="1">
      <alignment horizontal="center"/>
    </xf>
    <xf numFmtId="168" fontId="239" fillId="0" borderId="0" xfId="30" applyNumberFormat="1" applyFont="1" applyAlignment="1">
      <alignment horizontal="center"/>
    </xf>
    <xf numFmtId="168" fontId="245" fillId="0" borderId="0" xfId="30" applyNumberFormat="1" applyFont="1" applyAlignment="1">
      <alignment horizontal="center"/>
    </xf>
    <xf numFmtId="1" fontId="239" fillId="0" borderId="111" xfId="581" applyNumberFormat="1" applyFont="1" applyBorder="1" applyAlignment="1">
      <alignment horizontal="center"/>
    </xf>
    <xf numFmtId="1" fontId="239" fillId="0" borderId="112" xfId="581" applyNumberFormat="1" applyFont="1" applyBorder="1" applyAlignment="1">
      <alignment horizontal="center"/>
    </xf>
    <xf numFmtId="167" fontId="247" fillId="0" borderId="0" xfId="30" applyNumberFormat="1" applyFont="1" applyAlignment="1">
      <alignment horizontal="center"/>
    </xf>
    <xf numFmtId="167" fontId="247" fillId="0" borderId="111" xfId="30" applyNumberFormat="1" applyFont="1" applyBorder="1" applyAlignment="1">
      <alignment horizontal="center"/>
    </xf>
    <xf numFmtId="167" fontId="247" fillId="0" borderId="0" xfId="30" applyNumberFormat="1" applyFont="1" applyBorder="1" applyAlignment="1">
      <alignment horizontal="center"/>
    </xf>
    <xf numFmtId="167" fontId="247" fillId="0" borderId="112" xfId="30" applyNumberFormat="1" applyFont="1" applyBorder="1" applyAlignment="1">
      <alignment horizontal="center"/>
    </xf>
    <xf numFmtId="167" fontId="248" fillId="0" borderId="0" xfId="1" applyNumberFormat="1" applyFont="1" applyAlignment="1">
      <alignment horizontal="center"/>
    </xf>
    <xf numFmtId="167" fontId="248" fillId="0" borderId="111" xfId="1" applyNumberFormat="1" applyFont="1" applyBorder="1" applyAlignment="1">
      <alignment horizontal="center"/>
    </xf>
    <xf numFmtId="167" fontId="248" fillId="0" borderId="0" xfId="1" applyNumberFormat="1" applyFont="1" applyBorder="1" applyAlignment="1">
      <alignment horizontal="center"/>
    </xf>
    <xf numFmtId="167" fontId="248" fillId="0" borderId="112" xfId="1" applyNumberFormat="1" applyFont="1" applyBorder="1" applyAlignment="1">
      <alignment horizontal="center"/>
    </xf>
    <xf numFmtId="1" fontId="242" fillId="0" borderId="111" xfId="581" applyNumberFormat="1" applyFont="1" applyBorder="1" applyAlignment="1">
      <alignment horizontal="center"/>
    </xf>
    <xf numFmtId="167" fontId="247" fillId="0" borderId="0" xfId="581" applyNumberFormat="1" applyFont="1" applyAlignment="1">
      <alignment horizontal="center"/>
    </xf>
    <xf numFmtId="167" fontId="247" fillId="0" borderId="0" xfId="581" applyNumberFormat="1" applyFont="1" applyBorder="1" applyAlignment="1">
      <alignment horizontal="center"/>
    </xf>
    <xf numFmtId="167" fontId="247" fillId="0" borderId="112" xfId="581" applyNumberFormat="1" applyFont="1" applyBorder="1" applyAlignment="1">
      <alignment horizontal="center"/>
    </xf>
    <xf numFmtId="1" fontId="229" fillId="81" borderId="106" xfId="810" applyNumberFormat="1" applyAlignment="1">
      <alignment horizontal="center"/>
    </xf>
    <xf numFmtId="1" fontId="229" fillId="81" borderId="129" xfId="810" applyNumberFormat="1" applyBorder="1" applyAlignment="1">
      <alignment horizontal="center"/>
    </xf>
    <xf numFmtId="167" fontId="245" fillId="0" borderId="0" xfId="581" applyNumberFormat="1" applyFont="1" applyBorder="1" applyAlignment="1">
      <alignment horizontal="center"/>
    </xf>
    <xf numFmtId="167" fontId="245" fillId="0" borderId="112" xfId="581" applyNumberFormat="1" applyFont="1" applyBorder="1" applyAlignment="1">
      <alignment horizontal="center"/>
    </xf>
    <xf numFmtId="167" fontId="239" fillId="0" borderId="0" xfId="1" applyNumberFormat="1" applyFont="1" applyAlignment="1">
      <alignment horizontal="center"/>
    </xf>
    <xf numFmtId="167" fontId="239" fillId="0" borderId="111" xfId="1" applyNumberFormat="1" applyFont="1" applyBorder="1" applyAlignment="1">
      <alignment horizontal="center"/>
    </xf>
    <xf numFmtId="167" fontId="239" fillId="0" borderId="0" xfId="1" applyNumberFormat="1" applyFont="1" applyBorder="1" applyAlignment="1">
      <alignment horizontal="center"/>
    </xf>
    <xf numFmtId="167" fontId="239" fillId="0" borderId="112" xfId="1" applyNumberFormat="1" applyFont="1" applyBorder="1" applyAlignment="1">
      <alignment horizontal="center"/>
    </xf>
    <xf numFmtId="0" fontId="229" fillId="81" borderId="106" xfId="810"/>
    <xf numFmtId="168" fontId="239" fillId="0" borderId="0" xfId="581" applyNumberFormat="1" applyFont="1" applyAlignment="1">
      <alignment horizontal="center"/>
    </xf>
    <xf numFmtId="168" fontId="17" fillId="5" borderId="0" xfId="18" applyNumberFormat="1" applyAlignment="1">
      <alignment horizontal="center"/>
    </xf>
    <xf numFmtId="168" fontId="246" fillId="7" borderId="111" xfId="581" applyNumberFormat="1" applyFont="1" applyFill="1" applyBorder="1" applyAlignment="1">
      <alignment horizontal="center"/>
    </xf>
    <xf numFmtId="168" fontId="245" fillId="0" borderId="0" xfId="581" applyNumberFormat="1" applyFont="1" applyBorder="1" applyAlignment="1">
      <alignment horizontal="center"/>
    </xf>
    <xf numFmtId="168" fontId="245" fillId="0" borderId="112" xfId="581" applyNumberFormat="1" applyFont="1" applyBorder="1" applyAlignment="1">
      <alignment horizontal="center"/>
    </xf>
    <xf numFmtId="0" fontId="242" fillId="93" borderId="0" xfId="581" applyFont="1" applyFill="1" applyAlignment="1">
      <alignment horizontal="left"/>
    </xf>
    <xf numFmtId="1" fontId="242" fillId="93" borderId="0" xfId="581" applyNumberFormat="1" applyFont="1" applyFill="1" applyAlignment="1">
      <alignment horizontal="center"/>
    </xf>
    <xf numFmtId="1" fontId="242" fillId="93" borderId="111" xfId="581" applyNumberFormat="1" applyFont="1" applyFill="1" applyBorder="1" applyAlignment="1">
      <alignment horizontal="center"/>
    </xf>
    <xf numFmtId="168" fontId="239" fillId="0" borderId="0" xfId="1" applyNumberFormat="1" applyFont="1" applyAlignment="1">
      <alignment horizontal="center"/>
    </xf>
    <xf numFmtId="167" fontId="17" fillId="5" borderId="0" xfId="18" applyNumberFormat="1" applyAlignment="1">
      <alignment horizontal="center"/>
    </xf>
    <xf numFmtId="167" fontId="249" fillId="0" borderId="111" xfId="30" applyNumberFormat="1" applyFont="1" applyBorder="1" applyAlignment="1">
      <alignment horizontal="center"/>
    </xf>
    <xf numFmtId="168" fontId="247" fillId="0" borderId="0" xfId="30" applyNumberFormat="1" applyFont="1" applyAlignment="1">
      <alignment horizontal="center"/>
    </xf>
    <xf numFmtId="1" fontId="242" fillId="93" borderId="0" xfId="581" applyNumberFormat="1" applyFont="1" applyFill="1" applyBorder="1" applyAlignment="1">
      <alignment horizontal="center"/>
    </xf>
    <xf numFmtId="168" fontId="239" fillId="7" borderId="111" xfId="581" applyNumberFormat="1" applyFont="1" applyFill="1" applyBorder="1" applyAlignment="1">
      <alignment horizontal="center"/>
    </xf>
    <xf numFmtId="168" fontId="239" fillId="0" borderId="0" xfId="581" applyNumberFormat="1" applyFont="1" applyBorder="1" applyAlignment="1">
      <alignment horizontal="center"/>
    </xf>
    <xf numFmtId="0" fontId="239" fillId="32" borderId="0" xfId="581" applyFont="1" applyFill="1" applyAlignment="1">
      <alignment horizontal="left"/>
    </xf>
    <xf numFmtId="2" fontId="239" fillId="32" borderId="0" xfId="1" applyNumberFormat="1" applyFont="1" applyFill="1" applyAlignment="1">
      <alignment horizontal="center"/>
    </xf>
    <xf numFmtId="0" fontId="239" fillId="94" borderId="0" xfId="581" applyFont="1" applyFill="1" applyAlignment="1">
      <alignment horizontal="left"/>
    </xf>
    <xf numFmtId="2" fontId="239" fillId="0" borderId="0" xfId="1" applyNumberFormat="1" applyFont="1" applyAlignment="1">
      <alignment horizontal="center"/>
    </xf>
    <xf numFmtId="0" fontId="228" fillId="0" borderId="105" xfId="809" applyAlignment="1">
      <alignment horizontal="left"/>
    </xf>
    <xf numFmtId="2" fontId="228" fillId="0" borderId="105" xfId="809" applyNumberFormat="1" applyAlignment="1">
      <alignment horizontal="center"/>
    </xf>
    <xf numFmtId="49" fontId="228" fillId="0" borderId="105" xfId="809" applyNumberFormat="1"/>
    <xf numFmtId="0" fontId="228" fillId="0" borderId="105" xfId="809"/>
    <xf numFmtId="9" fontId="15" fillId="0" borderId="0" xfId="1" applyFont="1"/>
    <xf numFmtId="0" fontId="0" fillId="0" borderId="0" xfId="21" applyFont="1"/>
    <xf numFmtId="49" fontId="9" fillId="0" borderId="0" xfId="0" applyNumberFormat="1" applyFont="1"/>
    <xf numFmtId="168" fontId="239" fillId="0" borderId="111" xfId="1" applyNumberFormat="1" applyFont="1" applyBorder="1" applyAlignment="1">
      <alignment horizontal="center"/>
    </xf>
    <xf numFmtId="168" fontId="239" fillId="0" borderId="0" xfId="1" applyNumberFormat="1" applyFont="1" applyBorder="1" applyAlignment="1">
      <alignment horizontal="center"/>
    </xf>
    <xf numFmtId="168" fontId="239" fillId="0" borderId="112" xfId="1" applyNumberFormat="1" applyFont="1" applyBorder="1" applyAlignment="1">
      <alignment horizontal="center"/>
    </xf>
    <xf numFmtId="168" fontId="249" fillId="0" borderId="111" xfId="30" applyNumberFormat="1" applyFont="1" applyBorder="1" applyAlignment="1">
      <alignment horizontal="center"/>
    </xf>
    <xf numFmtId="168" fontId="245" fillId="0" borderId="0" xfId="581" applyNumberFormat="1" applyFont="1" applyFill="1" applyBorder="1" applyAlignment="1">
      <alignment horizontal="center"/>
    </xf>
    <xf numFmtId="0" fontId="9" fillId="0" borderId="0" xfId="0" applyFont="1"/>
    <xf numFmtId="0" fontId="15" fillId="0" borderId="0" xfId="21" applyFill="1"/>
    <xf numFmtId="0" fontId="15" fillId="87" borderId="0" xfId="21" applyFill="1"/>
    <xf numFmtId="0" fontId="15" fillId="87" borderId="0" xfId="21" quotePrefix="1" applyFill="1"/>
    <xf numFmtId="0" fontId="0" fillId="87" borderId="0" xfId="0" applyFill="1"/>
    <xf numFmtId="9" fontId="252" fillId="90" borderId="0" xfId="1" applyFont="1" applyFill="1" applyBorder="1"/>
    <xf numFmtId="9" fontId="253" fillId="0" borderId="0" xfId="1" applyFont="1"/>
    <xf numFmtId="9" fontId="254" fillId="0" borderId="0" xfId="1" applyFont="1"/>
    <xf numFmtId="9" fontId="255" fillId="0" borderId="0" xfId="1" applyFont="1"/>
    <xf numFmtId="168" fontId="0" fillId="0" borderId="0" xfId="0" applyNumberFormat="1"/>
    <xf numFmtId="0" fontId="15" fillId="95" borderId="0" xfId="21" applyFill="1"/>
    <xf numFmtId="0" fontId="0" fillId="95" borderId="0" xfId="0" applyFill="1"/>
    <xf numFmtId="168" fontId="0" fillId="95" borderId="0" xfId="0" applyNumberFormat="1" applyFill="1"/>
    <xf numFmtId="168" fontId="15" fillId="87" borderId="0" xfId="21" applyNumberFormat="1" applyFill="1"/>
    <xf numFmtId="0" fontId="231" fillId="0" borderId="0" xfId="811" applyFill="1" applyBorder="1"/>
    <xf numFmtId="1" fontId="0" fillId="0" borderId="0" xfId="0" applyNumberFormat="1" applyFill="1" applyBorder="1"/>
    <xf numFmtId="9" fontId="235" fillId="0" borderId="0" xfId="30" applyFont="1" applyFill="1" applyBorder="1" applyAlignment="1">
      <alignment horizontal="center"/>
    </xf>
    <xf numFmtId="0" fontId="15" fillId="0" borderId="0" xfId="21" applyFill="1" applyBorder="1" applyAlignment="1">
      <alignment horizontal="center"/>
    </xf>
    <xf numFmtId="167" fontId="0" fillId="0" borderId="0" xfId="30" applyNumberFormat="1" applyFont="1" applyFill="1" applyBorder="1" applyAlignment="1">
      <alignment horizontal="center"/>
    </xf>
    <xf numFmtId="0" fontId="0" fillId="0" borderId="0" xfId="0" applyFill="1" applyBorder="1"/>
    <xf numFmtId="0" fontId="235" fillId="0" borderId="0" xfId="21" applyFont="1" applyFill="1" applyBorder="1"/>
    <xf numFmtId="0" fontId="235" fillId="0" borderId="0" xfId="21" applyFont="1" applyFill="1" applyBorder="1" applyAlignment="1">
      <alignment horizontal="center"/>
    </xf>
    <xf numFmtId="1" fontId="235" fillId="0" borderId="0" xfId="21" applyNumberFormat="1" applyFont="1" applyFill="1" applyBorder="1" applyAlignment="1">
      <alignment horizontal="center"/>
    </xf>
    <xf numFmtId="0" fontId="51" fillId="0" borderId="0" xfId="21" applyFont="1" applyFill="1" applyBorder="1"/>
    <xf numFmtId="1" fontId="15" fillId="0" borderId="0" xfId="21" applyNumberFormat="1" applyFill="1" applyBorder="1" applyAlignment="1">
      <alignment horizontal="center"/>
    </xf>
    <xf numFmtId="9" fontId="0" fillId="0" borderId="0" xfId="812" applyNumberFormat="1" applyFont="1" applyFill="1" applyBorder="1"/>
    <xf numFmtId="0" fontId="0" fillId="0" borderId="0" xfId="812" applyFont="1" applyFill="1" applyBorder="1"/>
    <xf numFmtId="0" fontId="1" fillId="0" borderId="0" xfId="812" applyFill="1" applyBorder="1"/>
    <xf numFmtId="0" fontId="0" fillId="0" borderId="0" xfId="0" applyFill="1"/>
    <xf numFmtId="0" fontId="231" fillId="0" borderId="0" xfId="811" applyFill="1"/>
    <xf numFmtId="0" fontId="0" fillId="96" borderId="0" xfId="0" applyFill="1"/>
    <xf numFmtId="9" fontId="234" fillId="84" borderId="0" xfId="815" applyNumberFormat="1" applyFont="1" applyBorder="1"/>
    <xf numFmtId="9" fontId="234" fillId="84" borderId="111" xfId="815" applyNumberFormat="1" applyFont="1" applyBorder="1"/>
    <xf numFmtId="9" fontId="231" fillId="86" borderId="0" xfId="1" applyFont="1" applyFill="1" applyBorder="1"/>
    <xf numFmtId="167" fontId="231" fillId="86" borderId="0" xfId="817" applyNumberFormat="1" applyBorder="1"/>
    <xf numFmtId="166" fontId="239" fillId="0" borderId="0" xfId="818" applyFont="1" applyAlignment="1">
      <alignment horizontal="center"/>
    </xf>
    <xf numFmtId="0" fontId="50" fillId="0" borderId="3" xfId="0" applyFont="1" applyBorder="1" applyAlignment="1" applyProtection="1">
      <alignment horizontal="right" vertical="center"/>
    </xf>
    <xf numFmtId="167" fontId="33" fillId="4" borderId="47" xfId="0" applyNumberFormat="1" applyFont="1" applyFill="1" applyBorder="1" applyAlignment="1" applyProtection="1">
      <alignment horizontal="right" vertical="center"/>
    </xf>
    <xf numFmtId="0" fontId="27" fillId="0" borderId="0" xfId="0" applyFont="1" applyAlignment="1" applyProtection="1">
      <alignment horizontal="left" vertical="center" wrapText="1"/>
    </xf>
    <xf numFmtId="14" fontId="34" fillId="0" borderId="0" xfId="0" applyNumberFormat="1" applyFont="1" applyAlignment="1" applyProtection="1">
      <alignment horizontal="left" vertical="center"/>
      <protection locked="0"/>
    </xf>
    <xf numFmtId="4" fontId="28" fillId="0" borderId="49" xfId="0" applyNumberFormat="1" applyFont="1" applyFill="1" applyBorder="1" applyAlignment="1" applyProtection="1">
      <alignment horizontal="right" vertical="center"/>
    </xf>
    <xf numFmtId="4" fontId="28" fillId="0" borderId="49" xfId="0" applyNumberFormat="1" applyFont="1" applyFill="1" applyBorder="1" applyAlignment="1" applyProtection="1">
      <alignment horizontal="right" vertical="center"/>
      <protection locked="0"/>
    </xf>
    <xf numFmtId="4" fontId="28" fillId="16" borderId="49" xfId="0" applyNumberFormat="1" applyFont="1" applyFill="1" applyBorder="1" applyAlignment="1" applyProtection="1">
      <alignment horizontal="right" vertical="center"/>
      <protection locked="0"/>
    </xf>
    <xf numFmtId="0" fontId="26" fillId="14" borderId="0" xfId="0" applyFont="1" applyFill="1" applyBorder="1" applyAlignment="1" applyProtection="1">
      <alignment horizontal="left" vertical="center" wrapText="1"/>
    </xf>
    <xf numFmtId="4" fontId="26" fillId="14" borderId="53" xfId="0" applyNumberFormat="1" applyFont="1" applyFill="1" applyBorder="1" applyAlignment="1" applyProtection="1">
      <alignment horizontal="right" vertical="center"/>
    </xf>
    <xf numFmtId="4" fontId="26" fillId="14" borderId="51" xfId="0" applyNumberFormat="1" applyFont="1" applyFill="1" applyBorder="1" applyAlignment="1" applyProtection="1">
      <alignment horizontal="right" vertical="center"/>
    </xf>
    <xf numFmtId="175" fontId="31" fillId="15" borderId="52" xfId="0" applyNumberFormat="1" applyFont="1" applyFill="1" applyBorder="1" applyAlignment="1" applyProtection="1">
      <alignment horizontal="right" vertical="center"/>
    </xf>
    <xf numFmtId="167" fontId="33" fillId="4" borderId="52" xfId="1" applyNumberFormat="1" applyFont="1" applyFill="1" applyBorder="1" applyAlignment="1" applyProtection="1">
      <alignment horizontal="right" vertical="center"/>
    </xf>
    <xf numFmtId="170" fontId="26" fillId="14" borderId="0" xfId="0" applyNumberFormat="1" applyFont="1" applyFill="1" applyBorder="1" applyAlignment="1" applyProtection="1">
      <alignment horizontal="right" vertical="center"/>
    </xf>
    <xf numFmtId="0" fontId="26" fillId="14" borderId="0" xfId="0" applyFont="1" applyFill="1" applyBorder="1" applyAlignment="1" applyProtection="1">
      <alignment horizontal="center" vertical="center"/>
    </xf>
    <xf numFmtId="0" fontId="26" fillId="0" borderId="2" xfId="0" applyNumberFormat="1" applyFont="1" applyFill="1" applyBorder="1" applyAlignment="1" applyProtection="1">
      <alignment horizontal="left" vertical="top" wrapText="1"/>
      <protection locked="0"/>
    </xf>
    <xf numFmtId="0" fontId="26" fillId="0" borderId="3" xfId="0" applyFont="1" applyBorder="1" applyAlignment="1" applyProtection="1">
      <alignment horizontal="left" vertical="top" wrapText="1"/>
      <protection locked="0"/>
    </xf>
    <xf numFmtId="0" fontId="26" fillId="0" borderId="4" xfId="0" applyFont="1" applyBorder="1" applyAlignment="1" applyProtection="1">
      <alignment horizontal="left" vertical="top" wrapText="1"/>
      <protection locked="0"/>
    </xf>
    <xf numFmtId="0" fontId="26" fillId="0" borderId="5" xfId="0" applyFont="1" applyBorder="1" applyAlignment="1" applyProtection="1">
      <alignment horizontal="left" vertical="top" wrapText="1"/>
      <protection locked="0"/>
    </xf>
    <xf numFmtId="0" fontId="26" fillId="0" borderId="0" xfId="0" applyFont="1" applyBorder="1" applyAlignment="1" applyProtection="1">
      <alignment horizontal="left" vertical="top" wrapText="1"/>
      <protection locked="0"/>
    </xf>
    <xf numFmtId="0" fontId="26" fillId="0" borderId="6" xfId="0" applyFont="1" applyBorder="1" applyAlignment="1" applyProtection="1">
      <alignment horizontal="left" vertical="top" wrapText="1"/>
      <protection locked="0"/>
    </xf>
    <xf numFmtId="0" fontId="26" fillId="0" borderId="8" xfId="0" applyFont="1" applyBorder="1" applyAlignment="1" applyProtection="1">
      <alignment horizontal="left" vertical="top" wrapText="1"/>
      <protection locked="0"/>
    </xf>
    <xf numFmtId="0" fontId="26" fillId="0" borderId="9" xfId="0" applyFont="1" applyBorder="1" applyAlignment="1" applyProtection="1">
      <alignment horizontal="left" vertical="top" wrapText="1"/>
      <protection locked="0"/>
    </xf>
    <xf numFmtId="0" fontId="26" fillId="0" borderId="10" xfId="0" applyFont="1" applyBorder="1" applyAlignment="1" applyProtection="1">
      <alignment horizontal="left" vertical="top" wrapText="1"/>
      <protection locked="0"/>
    </xf>
    <xf numFmtId="167" fontId="28" fillId="0" borderId="49" xfId="1" applyNumberFormat="1" applyFont="1" applyFill="1" applyBorder="1" applyAlignment="1" applyProtection="1">
      <alignment horizontal="right" vertical="center"/>
    </xf>
    <xf numFmtId="3" fontId="28" fillId="0" borderId="49" xfId="0" applyNumberFormat="1" applyFont="1" applyFill="1" applyBorder="1" applyAlignment="1" applyProtection="1">
      <alignment horizontal="right" vertical="center"/>
    </xf>
    <xf numFmtId="0" fontId="28" fillId="0" borderId="48" xfId="0" applyNumberFormat="1" applyFont="1" applyFill="1" applyBorder="1" applyAlignment="1" applyProtection="1">
      <alignment horizontal="right" vertical="center" wrapText="1"/>
    </xf>
    <xf numFmtId="0" fontId="28" fillId="0" borderId="48" xfId="0" applyNumberFormat="1" applyFont="1" applyFill="1" applyBorder="1" applyAlignment="1" applyProtection="1">
      <alignment horizontal="right" vertical="center"/>
    </xf>
    <xf numFmtId="0" fontId="28" fillId="0" borderId="49" xfId="0" applyNumberFormat="1" applyFont="1" applyFill="1" applyBorder="1" applyAlignment="1" applyProtection="1">
      <alignment horizontal="right" vertical="center"/>
    </xf>
    <xf numFmtId="0" fontId="33" fillId="4" borderId="52" xfId="0" applyFont="1" applyFill="1" applyBorder="1" applyAlignment="1" applyProtection="1">
      <alignment horizontal="right" vertical="center"/>
    </xf>
    <xf numFmtId="0" fontId="29" fillId="15" borderId="52" xfId="0" applyFont="1" applyFill="1" applyBorder="1" applyAlignment="1" applyProtection="1">
      <alignment horizontal="center" vertical="center"/>
    </xf>
    <xf numFmtId="175" fontId="30" fillId="15" borderId="52" xfId="0" applyNumberFormat="1" applyFont="1" applyFill="1" applyBorder="1" applyAlignment="1" applyProtection="1">
      <alignment horizontal="right" vertical="center"/>
    </xf>
    <xf numFmtId="175" fontId="30" fillId="15" borderId="52" xfId="0" applyNumberFormat="1" applyFont="1" applyFill="1" applyBorder="1" applyAlignment="1" applyProtection="1">
      <alignment horizontal="right" vertical="center"/>
      <protection locked="0"/>
    </xf>
    <xf numFmtId="0" fontId="32" fillId="14" borderId="53" xfId="19" applyFont="1" applyFill="1" applyBorder="1" applyAlignment="1" applyProtection="1">
      <alignment horizontal="left" vertical="center"/>
    </xf>
    <xf numFmtId="4" fontId="26" fillId="0" borderId="0" xfId="0" applyNumberFormat="1" applyFont="1" applyBorder="1" applyAlignment="1" applyProtection="1">
      <alignment horizontal="right" vertical="center"/>
    </xf>
    <xf numFmtId="0" fontId="33" fillId="4" borderId="47" xfId="19" quotePrefix="1" applyFont="1" applyFill="1" applyBorder="1" applyAlignment="1" applyProtection="1">
      <alignment horizontal="left" vertical="center"/>
    </xf>
    <xf numFmtId="168" fontId="33" fillId="4" borderId="47" xfId="0" applyNumberFormat="1" applyFont="1" applyFill="1" applyBorder="1" applyAlignment="1" applyProtection="1">
      <alignment horizontal="right" vertical="center"/>
    </xf>
    <xf numFmtId="0" fontId="29" fillId="15" borderId="0" xfId="0" applyFont="1" applyFill="1" applyAlignment="1" applyProtection="1">
      <alignment horizontal="center" vertical="center"/>
    </xf>
    <xf numFmtId="0" fontId="32" fillId="14" borderId="51" xfId="19" applyFont="1" applyFill="1" applyBorder="1" applyAlignment="1" applyProtection="1">
      <alignment horizontal="left" vertical="center"/>
    </xf>
    <xf numFmtId="4" fontId="28" fillId="0" borderId="47" xfId="11" applyNumberFormat="1" applyFont="1" applyFill="1" applyBorder="1" applyAlignment="1" applyProtection="1">
      <alignment horizontal="right" vertical="center"/>
    </xf>
    <xf numFmtId="14" fontId="29" fillId="0" borderId="0" xfId="0" applyNumberFormat="1" applyFont="1" applyFill="1" applyBorder="1" applyAlignment="1" applyProtection="1">
      <alignment horizontal="right" vertical="center"/>
    </xf>
    <xf numFmtId="4" fontId="28" fillId="16" borderId="0" xfId="0" applyNumberFormat="1" applyFont="1" applyFill="1" applyBorder="1" applyAlignment="1" applyProtection="1">
      <alignment horizontal="right" vertical="center"/>
      <protection locked="0"/>
    </xf>
    <xf numFmtId="172" fontId="28" fillId="16" borderId="48" xfId="0" applyNumberFormat="1" applyFont="1" applyFill="1" applyBorder="1" applyAlignment="1" applyProtection="1">
      <alignment horizontal="right" vertical="center" wrapText="1"/>
      <protection locked="0"/>
    </xf>
    <xf numFmtId="0" fontId="28" fillId="0" borderId="49" xfId="0" applyNumberFormat="1" applyFont="1" applyFill="1" applyBorder="1" applyAlignment="1" applyProtection="1">
      <alignment horizontal="right" vertical="center"/>
      <protection locked="0"/>
    </xf>
    <xf numFmtId="172" fontId="28" fillId="16" borderId="0" xfId="0" applyNumberFormat="1" applyFont="1" applyFill="1" applyBorder="1" applyAlignment="1" applyProtection="1">
      <alignment horizontal="right" vertical="center"/>
      <protection locked="0"/>
    </xf>
    <xf numFmtId="0" fontId="10" fillId="16" borderId="0" xfId="0" applyNumberFormat="1" applyFont="1" applyFill="1" applyAlignment="1" applyProtection="1">
      <alignment horizontal="right" vertical="center"/>
      <protection locked="0"/>
    </xf>
    <xf numFmtId="0" fontId="28" fillId="16" borderId="0" xfId="0" applyNumberFormat="1" applyFont="1" applyFill="1" applyBorder="1" applyAlignment="1" applyProtection="1">
      <alignment horizontal="right" vertical="center"/>
      <protection locked="0"/>
    </xf>
    <xf numFmtId="4" fontId="28" fillId="0" borderId="0" xfId="0" applyNumberFormat="1" applyFont="1" applyFill="1" applyAlignment="1" applyProtection="1">
      <alignment horizontal="right" vertical="center"/>
    </xf>
    <xf numFmtId="170" fontId="28" fillId="0" borderId="0" xfId="0" applyNumberFormat="1" applyFont="1" applyFill="1" applyAlignment="1" applyProtection="1">
      <alignment horizontal="right" vertical="center"/>
    </xf>
    <xf numFmtId="167" fontId="32" fillId="14" borderId="44" xfId="1" applyNumberFormat="1" applyFont="1" applyFill="1" applyBorder="1" applyAlignment="1" applyProtection="1">
      <alignment horizontal="center" vertical="center"/>
    </xf>
    <xf numFmtId="167" fontId="32" fillId="14" borderId="45" xfId="1" applyNumberFormat="1" applyFont="1" applyFill="1" applyBorder="1" applyAlignment="1" applyProtection="1">
      <alignment horizontal="center" vertical="center"/>
    </xf>
    <xf numFmtId="167" fontId="32" fillId="14" borderId="46" xfId="1" applyNumberFormat="1" applyFont="1" applyFill="1" applyBorder="1" applyAlignment="1" applyProtection="1">
      <alignment horizontal="center" vertical="center"/>
    </xf>
    <xf numFmtId="167" fontId="26" fillId="0" borderId="11" xfId="0" applyNumberFormat="1" applyFont="1" applyBorder="1" applyAlignment="1" applyProtection="1">
      <alignment horizontal="right" vertical="center"/>
    </xf>
    <xf numFmtId="167" fontId="28" fillId="0" borderId="0" xfId="0" applyNumberFormat="1" applyFont="1" applyFill="1" applyBorder="1" applyAlignment="1" applyProtection="1">
      <alignment horizontal="right" vertical="center"/>
    </xf>
    <xf numFmtId="167" fontId="28" fillId="16" borderId="0" xfId="0" applyNumberFormat="1" applyFont="1" applyFill="1" applyAlignment="1" applyProtection="1">
      <alignment horizontal="right" vertical="center"/>
      <protection locked="0"/>
    </xf>
    <xf numFmtId="0" fontId="40" fillId="4" borderId="15" xfId="0" applyFont="1" applyFill="1" applyBorder="1" applyAlignment="1" applyProtection="1">
      <alignment horizontal="left" vertical="top" wrapText="1"/>
      <protection locked="0"/>
    </xf>
    <xf numFmtId="0" fontId="40" fillId="4" borderId="16" xfId="0" applyFont="1" applyFill="1" applyBorder="1" applyAlignment="1" applyProtection="1">
      <alignment horizontal="left" vertical="top" wrapText="1"/>
      <protection locked="0"/>
    </xf>
    <xf numFmtId="0" fontId="40" fillId="4" borderId="17" xfId="0" applyFont="1" applyFill="1" applyBorder="1" applyAlignment="1" applyProtection="1">
      <alignment horizontal="left" vertical="top" wrapText="1"/>
      <protection locked="0"/>
    </xf>
    <xf numFmtId="0" fontId="40" fillId="4" borderId="18" xfId="0" applyFont="1" applyFill="1" applyBorder="1" applyAlignment="1" applyProtection="1">
      <alignment horizontal="left" vertical="top" wrapText="1"/>
      <protection locked="0"/>
    </xf>
    <xf numFmtId="0" fontId="40" fillId="4" borderId="19" xfId="0" applyFont="1" applyFill="1" applyBorder="1" applyAlignment="1" applyProtection="1">
      <alignment horizontal="left" vertical="top" wrapText="1"/>
      <protection locked="0"/>
    </xf>
    <xf numFmtId="0" fontId="40" fillId="4" borderId="20" xfId="0" applyFont="1" applyFill="1" applyBorder="1" applyAlignment="1" applyProtection="1">
      <alignment horizontal="left" vertical="top" wrapText="1"/>
      <protection locked="0"/>
    </xf>
    <xf numFmtId="4" fontId="28" fillId="0" borderId="0" xfId="0" applyNumberFormat="1" applyFont="1" applyFill="1" applyBorder="1" applyAlignment="1" applyProtection="1">
      <alignment horizontal="right" vertical="center"/>
    </xf>
    <xf numFmtId="167" fontId="39" fillId="14" borderId="44" xfId="1" applyNumberFormat="1" applyFont="1" applyFill="1" applyBorder="1" applyAlignment="1" applyProtection="1">
      <alignment horizontal="right" vertical="center"/>
    </xf>
    <xf numFmtId="167" fontId="39" fillId="14" borderId="45" xfId="1" applyNumberFormat="1" applyFont="1" applyFill="1" applyBorder="1" applyAlignment="1" applyProtection="1">
      <alignment horizontal="right" vertical="center"/>
    </xf>
    <xf numFmtId="167" fontId="39" fillId="14" borderId="46" xfId="1" applyNumberFormat="1" applyFont="1" applyFill="1" applyBorder="1" applyAlignment="1" applyProtection="1">
      <alignment horizontal="right" vertical="center"/>
    </xf>
    <xf numFmtId="167" fontId="28" fillId="16" borderId="0" xfId="0" applyNumberFormat="1" applyFont="1" applyFill="1" applyBorder="1" applyAlignment="1" applyProtection="1">
      <alignment horizontal="right" vertical="center"/>
      <protection locked="0"/>
    </xf>
    <xf numFmtId="170" fontId="39" fillId="0" borderId="0" xfId="0" applyNumberFormat="1" applyFont="1" applyFill="1" applyBorder="1" applyAlignment="1" applyProtection="1">
      <alignment horizontal="right" vertical="center"/>
    </xf>
    <xf numFmtId="167" fontId="28" fillId="0" borderId="0" xfId="11" applyNumberFormat="1" applyFont="1" applyFill="1" applyAlignment="1" applyProtection="1">
      <alignment horizontal="right" vertical="center"/>
    </xf>
    <xf numFmtId="4" fontId="28" fillId="0" borderId="42" xfId="0" applyNumberFormat="1" applyFont="1" applyFill="1" applyBorder="1" applyAlignment="1" applyProtection="1">
      <alignment horizontal="right" vertical="center"/>
    </xf>
    <xf numFmtId="167" fontId="28" fillId="0" borderId="0" xfId="0" applyNumberFormat="1" applyFont="1" applyFill="1" applyAlignment="1" applyProtection="1">
      <alignment horizontal="right" vertical="center"/>
    </xf>
    <xf numFmtId="170" fontId="28" fillId="0" borderId="0" xfId="0" applyNumberFormat="1" applyFont="1" applyFill="1" applyBorder="1" applyAlignment="1" applyProtection="1">
      <alignment horizontal="right" vertical="center"/>
    </xf>
    <xf numFmtId="167" fontId="39" fillId="0" borderId="0" xfId="11" applyNumberFormat="1" applyFont="1" applyFill="1" applyAlignment="1" applyProtection="1">
      <alignment horizontal="right" vertical="center"/>
    </xf>
    <xf numFmtId="167" fontId="39" fillId="14" borderId="12" xfId="11" applyNumberFormat="1" applyFont="1" applyFill="1" applyBorder="1" applyAlignment="1" applyProtection="1">
      <alignment horizontal="right" vertical="center"/>
    </xf>
    <xf numFmtId="167" fontId="39" fillId="14" borderId="13" xfId="11" applyNumberFormat="1" applyFont="1" applyFill="1" applyBorder="1" applyAlignment="1" applyProtection="1">
      <alignment horizontal="right" vertical="center"/>
    </xf>
    <xf numFmtId="167" fontId="39" fillId="14" borderId="14" xfId="11" applyNumberFormat="1" applyFont="1" applyFill="1" applyBorder="1" applyAlignment="1" applyProtection="1">
      <alignment horizontal="right" vertical="center"/>
    </xf>
    <xf numFmtId="170" fontId="28" fillId="16" borderId="0" xfId="20" applyNumberFormat="1" applyFont="1" applyFill="1" applyAlignment="1" applyProtection="1">
      <alignment vertical="center"/>
      <protection locked="0"/>
    </xf>
    <xf numFmtId="4" fontId="28" fillId="0" borderId="0" xfId="20" applyNumberFormat="1" applyFont="1" applyFill="1" applyBorder="1" applyAlignment="1" applyProtection="1">
      <alignment horizontal="right" vertical="center"/>
    </xf>
    <xf numFmtId="0" fontId="36" fillId="12" borderId="0" xfId="19" quotePrefix="1" applyNumberFormat="1" applyFont="1" applyFill="1" applyBorder="1" applyAlignment="1" applyProtection="1">
      <alignment horizontal="center" vertical="center" wrapText="1"/>
      <protection locked="0"/>
    </xf>
    <xf numFmtId="0" fontId="36" fillId="4" borderId="0" xfId="19" quotePrefix="1" applyFont="1" applyFill="1" applyBorder="1" applyAlignment="1" applyProtection="1">
      <alignment horizontal="center" vertical="center" wrapText="1"/>
      <protection locked="0"/>
    </xf>
    <xf numFmtId="0" fontId="36" fillId="4" borderId="0" xfId="19" quotePrefix="1" applyFont="1" applyFill="1" applyBorder="1" applyAlignment="1" applyProtection="1">
      <alignment horizontal="left" vertical="center"/>
      <protection locked="0"/>
    </xf>
    <xf numFmtId="4" fontId="28" fillId="0" borderId="0" xfId="11" applyNumberFormat="1" applyFont="1" applyFill="1" applyBorder="1" applyAlignment="1" applyProtection="1">
      <alignment horizontal="right" vertical="center"/>
    </xf>
    <xf numFmtId="170" fontId="28" fillId="16" borderId="0" xfId="20" applyNumberFormat="1" applyFont="1" applyFill="1" applyAlignment="1" applyProtection="1">
      <alignment horizontal="right" vertical="center"/>
      <protection locked="0"/>
    </xf>
    <xf numFmtId="0" fontId="32" fillId="14" borderId="0" xfId="19" applyFont="1" applyFill="1" applyBorder="1" applyAlignment="1" applyProtection="1">
      <alignment horizontal="left" vertical="center"/>
    </xf>
    <xf numFmtId="0" fontId="33" fillId="4" borderId="52" xfId="19" quotePrefix="1" applyFont="1" applyFill="1" applyBorder="1" applyAlignment="1" applyProtection="1">
      <alignment horizontal="left" vertical="center"/>
    </xf>
    <xf numFmtId="0" fontId="40" fillId="0" borderId="27" xfId="0" applyFont="1" applyBorder="1" applyAlignment="1" applyProtection="1">
      <alignment horizontal="left" vertical="top" wrapText="1"/>
      <protection locked="0"/>
    </xf>
    <xf numFmtId="0" fontId="40" fillId="0" borderId="28" xfId="0" applyFont="1" applyBorder="1" applyAlignment="1" applyProtection="1">
      <alignment horizontal="left" vertical="top" wrapText="1"/>
      <protection locked="0"/>
    </xf>
    <xf numFmtId="0" fontId="40" fillId="0" borderId="29" xfId="0" applyFont="1" applyBorder="1" applyAlignment="1" applyProtection="1">
      <alignment horizontal="left" vertical="top" wrapText="1"/>
      <protection locked="0"/>
    </xf>
    <xf numFmtId="0" fontId="40" fillId="0" borderId="30" xfId="0" applyFont="1" applyBorder="1" applyAlignment="1" applyProtection="1">
      <alignment horizontal="left" vertical="top" wrapText="1"/>
      <protection locked="0"/>
    </xf>
    <xf numFmtId="0" fontId="40" fillId="0" borderId="0" xfId="0" applyFont="1" applyBorder="1" applyAlignment="1" applyProtection="1">
      <alignment horizontal="left" vertical="top" wrapText="1"/>
      <protection locked="0"/>
    </xf>
    <xf numFmtId="0" fontId="40" fillId="0" borderId="31" xfId="0" applyFont="1" applyBorder="1" applyAlignment="1" applyProtection="1">
      <alignment horizontal="left" vertical="top" wrapText="1"/>
      <protection locked="0"/>
    </xf>
    <xf numFmtId="0" fontId="40" fillId="0" borderId="32" xfId="0" applyFont="1" applyBorder="1" applyAlignment="1" applyProtection="1">
      <alignment horizontal="left" vertical="top" wrapText="1"/>
      <protection locked="0"/>
    </xf>
    <xf numFmtId="0" fontId="40" fillId="0" borderId="33" xfId="0" applyFont="1" applyBorder="1" applyAlignment="1" applyProtection="1">
      <alignment horizontal="left" vertical="top" wrapText="1"/>
      <protection locked="0"/>
    </xf>
    <xf numFmtId="0" fontId="40" fillId="0" borderId="34" xfId="0" applyFont="1" applyBorder="1" applyAlignment="1" applyProtection="1">
      <alignment horizontal="left" vertical="top" wrapText="1"/>
      <protection locked="0"/>
    </xf>
    <xf numFmtId="0" fontId="48" fillId="0" borderId="26" xfId="0" applyFont="1" applyBorder="1" applyAlignment="1" applyProtection="1">
      <alignment horizontal="left" vertical="top" wrapText="1"/>
      <protection locked="0"/>
    </xf>
    <xf numFmtId="0" fontId="48" fillId="0" borderId="24" xfId="0" applyFont="1" applyBorder="1" applyAlignment="1" applyProtection="1">
      <alignment horizontal="left" vertical="top" wrapText="1"/>
      <protection locked="0"/>
    </xf>
    <xf numFmtId="0" fontId="48" fillId="0" borderId="25" xfId="0" applyFont="1" applyBorder="1" applyAlignment="1" applyProtection="1">
      <alignment horizontal="left" vertical="top" wrapText="1"/>
      <protection locked="0"/>
    </xf>
    <xf numFmtId="0" fontId="18" fillId="0" borderId="24" xfId="0" applyFont="1" applyBorder="1" applyAlignment="1" applyProtection="1">
      <alignment horizontal="left" vertical="top" wrapText="1"/>
      <protection locked="0"/>
    </xf>
    <xf numFmtId="0" fontId="18" fillId="0" borderId="25" xfId="0" applyFont="1" applyBorder="1" applyAlignment="1" applyProtection="1">
      <alignment horizontal="left" vertical="top" wrapText="1"/>
      <protection locked="0"/>
    </xf>
    <xf numFmtId="0" fontId="40" fillId="0" borderId="27" xfId="0" applyFont="1" applyFill="1" applyBorder="1" applyAlignment="1" applyProtection="1">
      <alignment horizontal="left" vertical="top" wrapText="1"/>
      <protection locked="0"/>
    </xf>
    <xf numFmtId="0" fontId="40" fillId="0" borderId="28" xfId="0" applyFont="1" applyFill="1" applyBorder="1" applyAlignment="1" applyProtection="1">
      <alignment horizontal="left" vertical="top" wrapText="1"/>
      <protection locked="0"/>
    </xf>
    <xf numFmtId="0" fontId="40" fillId="0" borderId="29" xfId="0" applyFont="1" applyFill="1" applyBorder="1" applyAlignment="1" applyProtection="1">
      <alignment horizontal="left" vertical="top" wrapText="1"/>
      <protection locked="0"/>
    </xf>
    <xf numFmtId="0" fontId="40" fillId="0" borderId="30" xfId="0" applyFont="1" applyFill="1" applyBorder="1" applyAlignment="1" applyProtection="1">
      <alignment horizontal="left" vertical="top" wrapText="1"/>
      <protection locked="0"/>
    </xf>
    <xf numFmtId="0" fontId="40" fillId="0" borderId="0" xfId="0" applyFont="1" applyFill="1" applyBorder="1" applyAlignment="1" applyProtection="1">
      <alignment horizontal="left" vertical="top" wrapText="1"/>
      <protection locked="0"/>
    </xf>
    <xf numFmtId="0" fontId="40" fillId="0" borderId="31" xfId="0" applyFont="1" applyFill="1" applyBorder="1" applyAlignment="1" applyProtection="1">
      <alignment horizontal="left" vertical="top" wrapText="1"/>
      <protection locked="0"/>
    </xf>
    <xf numFmtId="0" fontId="40" fillId="0" borderId="32" xfId="0" applyFont="1" applyFill="1" applyBorder="1" applyAlignment="1" applyProtection="1">
      <alignment horizontal="left" vertical="top" wrapText="1"/>
      <protection locked="0"/>
    </xf>
    <xf numFmtId="0" fontId="40" fillId="0" borderId="33" xfId="0" applyFont="1" applyFill="1" applyBorder="1" applyAlignment="1" applyProtection="1">
      <alignment horizontal="left" vertical="top" wrapText="1"/>
      <protection locked="0"/>
    </xf>
    <xf numFmtId="0" fontId="40" fillId="0" borderId="34" xfId="0" applyFont="1" applyFill="1" applyBorder="1" applyAlignment="1" applyProtection="1">
      <alignment horizontal="left" vertical="top" wrapText="1"/>
      <protection locked="0"/>
    </xf>
    <xf numFmtId="168" fontId="28" fillId="7" borderId="28" xfId="0" applyNumberFormat="1" applyFont="1" applyFill="1" applyBorder="1" applyAlignment="1" applyProtection="1">
      <alignment horizontal="center" vertical="center"/>
      <protection locked="0"/>
    </xf>
    <xf numFmtId="168" fontId="28" fillId="7" borderId="0" xfId="0" applyNumberFormat="1" applyFont="1" applyFill="1" applyBorder="1" applyAlignment="1" applyProtection="1">
      <alignment horizontal="center" vertical="center"/>
      <protection locked="0"/>
    </xf>
    <xf numFmtId="0" fontId="10" fillId="0" borderId="0" xfId="0" applyFont="1" applyAlignment="1" applyProtection="1">
      <alignment horizontal="center" vertical="center"/>
      <protection locked="0"/>
    </xf>
    <xf numFmtId="0" fontId="26" fillId="0" borderId="27" xfId="0" applyFont="1" applyFill="1" applyBorder="1" applyAlignment="1">
      <alignment horizontal="left" vertical="center"/>
    </xf>
    <xf numFmtId="0" fontId="26" fillId="0" borderId="28" xfId="0" applyFont="1" applyFill="1" applyBorder="1" applyAlignment="1">
      <alignment horizontal="left" vertical="center"/>
    </xf>
    <xf numFmtId="0" fontId="26" fillId="0" borderId="30" xfId="0" applyFont="1" applyFill="1" applyBorder="1" applyAlignment="1">
      <alignment horizontal="left" vertical="center"/>
    </xf>
    <xf numFmtId="0" fontId="26" fillId="0" borderId="0" xfId="0" applyFont="1" applyFill="1" applyBorder="1" applyAlignment="1">
      <alignment horizontal="left" vertical="center"/>
    </xf>
    <xf numFmtId="168" fontId="38" fillId="0" borderId="28" xfId="0" applyNumberFormat="1" applyFont="1" applyFill="1" applyBorder="1" applyAlignment="1">
      <alignment horizontal="center" vertical="center"/>
    </xf>
    <xf numFmtId="168" fontId="38" fillId="0" borderId="0" xfId="0" applyNumberFormat="1" applyFont="1" applyFill="1" applyBorder="1" applyAlignment="1">
      <alignment horizontal="center" vertical="center"/>
    </xf>
    <xf numFmtId="0" fontId="40" fillId="0" borderId="0" xfId="0" applyNumberFormat="1" applyFont="1" applyFill="1" applyBorder="1" applyAlignment="1" applyProtection="1">
      <alignment vertical="top" wrapText="1"/>
    </xf>
    <xf numFmtId="0" fontId="40" fillId="0" borderId="31" xfId="0" applyNumberFormat="1" applyFont="1" applyFill="1" applyBorder="1" applyAlignment="1" applyProtection="1">
      <alignment vertical="top" wrapText="1"/>
    </xf>
    <xf numFmtId="0" fontId="28" fillId="0" borderId="49" xfId="0" applyFont="1" applyFill="1" applyBorder="1" applyAlignment="1" applyProtection="1">
      <alignment horizontal="left" vertical="center"/>
    </xf>
    <xf numFmtId="0" fontId="27" fillId="0" borderId="0" xfId="0" applyFont="1" applyAlignment="1">
      <alignment horizontal="left" vertical="center" wrapText="1"/>
    </xf>
    <xf numFmtId="0" fontId="38" fillId="0" borderId="33" xfId="0" applyFont="1" applyFill="1" applyBorder="1" applyAlignment="1">
      <alignment horizontal="left" vertical="center"/>
    </xf>
    <xf numFmtId="0" fontId="40" fillId="0" borderId="28" xfId="0" applyFont="1" applyFill="1" applyBorder="1" applyAlignment="1" applyProtection="1">
      <alignment vertical="top" wrapText="1"/>
      <protection locked="0"/>
    </xf>
    <xf numFmtId="0" fontId="40" fillId="0" borderId="29" xfId="0" applyFont="1" applyFill="1" applyBorder="1" applyAlignment="1" applyProtection="1">
      <alignment vertical="top" wrapText="1"/>
      <protection locked="0"/>
    </xf>
    <xf numFmtId="0" fontId="40" fillId="0" borderId="0" xfId="0" applyFont="1" applyFill="1" applyBorder="1" applyAlignment="1" applyProtection="1">
      <alignment vertical="top" wrapText="1"/>
      <protection locked="0"/>
    </xf>
    <xf numFmtId="0" fontId="40" fillId="0" borderId="31" xfId="0" applyFont="1" applyFill="1" applyBorder="1" applyAlignment="1" applyProtection="1">
      <alignment vertical="top" wrapText="1"/>
      <protection locked="0"/>
    </xf>
    <xf numFmtId="0" fontId="40" fillId="0" borderId="0" xfId="0" applyFont="1" applyFill="1" applyBorder="1" applyAlignment="1" applyProtection="1">
      <alignment vertical="top" wrapText="1"/>
    </xf>
    <xf numFmtId="0" fontId="40" fillId="0" borderId="31" xfId="0" applyFont="1" applyFill="1" applyBorder="1" applyAlignment="1" applyProtection="1">
      <alignment vertical="top" wrapText="1"/>
    </xf>
    <xf numFmtId="0" fontId="40" fillId="0" borderId="33" xfId="0" applyFont="1" applyFill="1" applyBorder="1" applyAlignment="1" applyProtection="1">
      <alignment vertical="top" wrapText="1"/>
    </xf>
    <xf numFmtId="0" fontId="40" fillId="0" borderId="34" xfId="0" applyFont="1" applyFill="1" applyBorder="1" applyAlignment="1" applyProtection="1">
      <alignment vertical="top" wrapText="1"/>
    </xf>
    <xf numFmtId="0" fontId="32" fillId="14" borderId="21" xfId="0" applyFont="1" applyFill="1" applyBorder="1" applyAlignment="1">
      <alignment horizontal="left" vertical="center"/>
    </xf>
    <xf numFmtId="0" fontId="32" fillId="14" borderId="22" xfId="0" applyFont="1" applyFill="1" applyBorder="1" applyAlignment="1">
      <alignment horizontal="left" vertical="center"/>
    </xf>
    <xf numFmtId="0" fontId="32" fillId="14" borderId="23" xfId="0" applyFont="1" applyFill="1" applyBorder="1" applyAlignment="1">
      <alignment horizontal="left" vertical="center"/>
    </xf>
    <xf numFmtId="168" fontId="41" fillId="0" borderId="24" xfId="0" applyNumberFormat="1" applyFont="1" applyFill="1" applyBorder="1" applyAlignment="1">
      <alignment horizontal="center" vertical="center"/>
    </xf>
    <xf numFmtId="168" fontId="41" fillId="0" borderId="25" xfId="0" applyNumberFormat="1" applyFont="1" applyFill="1" applyBorder="1" applyAlignment="1">
      <alignment horizontal="center" vertical="center"/>
    </xf>
    <xf numFmtId="0" fontId="38" fillId="14" borderId="26" xfId="0" applyFont="1" applyFill="1" applyBorder="1" applyAlignment="1">
      <alignment horizontal="left" vertical="center"/>
    </xf>
    <xf numFmtId="0" fontId="38" fillId="14" borderId="24" xfId="0" applyFont="1" applyFill="1" applyBorder="1" applyAlignment="1">
      <alignment horizontal="left" vertical="center"/>
    </xf>
    <xf numFmtId="168" fontId="39" fillId="7" borderId="24" xfId="0" applyNumberFormat="1" applyFont="1" applyFill="1" applyBorder="1" applyAlignment="1">
      <alignment horizontal="center" vertical="center"/>
    </xf>
    <xf numFmtId="168" fontId="39" fillId="7" borderId="25" xfId="0" applyNumberFormat="1" applyFont="1" applyFill="1" applyBorder="1" applyAlignment="1">
      <alignment horizontal="center" vertical="center"/>
    </xf>
    <xf numFmtId="0" fontId="26" fillId="0" borderId="30" xfId="0" applyFont="1" applyFill="1" applyBorder="1" applyAlignment="1">
      <alignment horizontal="left" vertical="center" wrapText="1"/>
    </xf>
    <xf numFmtId="0" fontId="26" fillId="0" borderId="0" xfId="0" applyFont="1" applyFill="1" applyBorder="1" applyAlignment="1">
      <alignment horizontal="left" vertical="center" wrapText="1"/>
    </xf>
    <xf numFmtId="168" fontId="28" fillId="9" borderId="0" xfId="0" applyNumberFormat="1" applyFont="1" applyFill="1" applyBorder="1" applyAlignment="1" applyProtection="1">
      <alignment horizontal="center" vertical="center"/>
      <protection locked="0"/>
    </xf>
    <xf numFmtId="0" fontId="26" fillId="0" borderId="32" xfId="0" applyFont="1" applyFill="1" applyBorder="1" applyAlignment="1">
      <alignment horizontal="left" vertical="center" wrapText="1"/>
    </xf>
    <xf numFmtId="0" fontId="26" fillId="0" borderId="33" xfId="0" applyFont="1" applyFill="1" applyBorder="1" applyAlignment="1">
      <alignment horizontal="left" vertical="center" wrapText="1"/>
    </xf>
    <xf numFmtId="168" fontId="28" fillId="7" borderId="33" xfId="0" applyNumberFormat="1" applyFont="1" applyFill="1" applyBorder="1" applyAlignment="1" applyProtection="1">
      <alignment horizontal="center" vertical="center"/>
      <protection locked="0"/>
    </xf>
    <xf numFmtId="168" fontId="28" fillId="10" borderId="33" xfId="0" applyNumberFormat="1" applyFont="1" applyFill="1" applyBorder="1" applyAlignment="1" applyProtection="1">
      <alignment horizontal="center" vertical="center"/>
      <protection locked="0"/>
    </xf>
    <xf numFmtId="168" fontId="39" fillId="9" borderId="24" xfId="0" applyNumberFormat="1" applyFont="1" applyFill="1" applyBorder="1" applyAlignment="1">
      <alignment horizontal="center" vertical="center"/>
    </xf>
    <xf numFmtId="168" fontId="39" fillId="9" borderId="25" xfId="0" applyNumberFormat="1" applyFont="1" applyFill="1" applyBorder="1" applyAlignment="1">
      <alignment horizontal="center" vertical="center"/>
    </xf>
    <xf numFmtId="0" fontId="26" fillId="0" borderId="27" xfId="0" applyFont="1" applyFill="1" applyBorder="1" applyAlignment="1">
      <alignment horizontal="left" vertical="center" wrapText="1"/>
    </xf>
    <xf numFmtId="0" fontId="26" fillId="0" borderId="28" xfId="0" applyFont="1" applyFill="1" applyBorder="1" applyAlignment="1">
      <alignment horizontal="left" vertical="center" wrapText="1"/>
    </xf>
    <xf numFmtId="168" fontId="28" fillId="9" borderId="28" xfId="0" applyNumberFormat="1" applyFont="1" applyFill="1" applyBorder="1" applyAlignment="1" applyProtection="1">
      <alignment horizontal="center" vertical="center"/>
      <protection locked="0"/>
    </xf>
    <xf numFmtId="168" fontId="28" fillId="8" borderId="0" xfId="0" applyNumberFormat="1" applyFont="1" applyFill="1" applyBorder="1" applyAlignment="1" applyProtection="1">
      <alignment horizontal="center" vertical="center"/>
      <protection locked="0"/>
    </xf>
    <xf numFmtId="168" fontId="28" fillId="6" borderId="28" xfId="0" applyNumberFormat="1" applyFont="1" applyFill="1" applyBorder="1" applyAlignment="1" applyProtection="1">
      <alignment horizontal="center" vertical="center"/>
      <protection locked="0"/>
    </xf>
    <xf numFmtId="168" fontId="39" fillId="6" borderId="24" xfId="0" applyNumberFormat="1" applyFont="1" applyFill="1" applyBorder="1" applyAlignment="1">
      <alignment horizontal="center" vertical="center"/>
    </xf>
    <xf numFmtId="168" fontId="39" fillId="6" borderId="25" xfId="0" applyNumberFormat="1" applyFont="1" applyFill="1" applyBorder="1" applyAlignment="1">
      <alignment horizontal="center" vertical="center"/>
    </xf>
    <xf numFmtId="0" fontId="40" fillId="0" borderId="33" xfId="0" applyFont="1" applyFill="1" applyBorder="1" applyAlignment="1" applyProtection="1">
      <alignment vertical="top" wrapText="1"/>
      <protection locked="0"/>
    </xf>
    <xf numFmtId="0" fontId="40" fillId="0" borderId="34" xfId="0" applyFont="1" applyFill="1" applyBorder="1" applyAlignment="1" applyProtection="1">
      <alignment vertical="top" wrapText="1"/>
      <protection locked="0"/>
    </xf>
    <xf numFmtId="49" fontId="40" fillId="0" borderId="38" xfId="18" applyNumberFormat="1" applyFont="1" applyFill="1" applyBorder="1" applyAlignment="1" applyProtection="1">
      <alignment horizontal="left" vertical="center" wrapText="1"/>
      <protection locked="0"/>
    </xf>
    <xf numFmtId="49" fontId="40" fillId="0" borderId="39" xfId="18" applyNumberFormat="1" applyFont="1" applyFill="1" applyBorder="1" applyAlignment="1" applyProtection="1">
      <alignment horizontal="left" vertical="center" wrapText="1"/>
      <protection locked="0"/>
    </xf>
    <xf numFmtId="168" fontId="26" fillId="0" borderId="37" xfId="0" applyNumberFormat="1" applyFont="1" applyFill="1" applyBorder="1" applyAlignment="1">
      <alignment horizontal="center" vertical="center" wrapText="1"/>
    </xf>
    <xf numFmtId="0" fontId="39" fillId="0" borderId="0" xfId="0" applyFont="1" applyFill="1" applyBorder="1" applyAlignment="1">
      <alignment horizontal="center" vertical="center"/>
    </xf>
    <xf numFmtId="49" fontId="26" fillId="0" borderId="0" xfId="15" applyNumberFormat="1" applyFont="1" applyFill="1" applyBorder="1" applyAlignment="1">
      <alignment horizontal="center"/>
    </xf>
    <xf numFmtId="49" fontId="43" fillId="15" borderId="0" xfId="15" applyNumberFormat="1" applyFont="1" applyFill="1" applyBorder="1" applyAlignment="1">
      <alignment horizontal="center" vertical="center"/>
    </xf>
    <xf numFmtId="168" fontId="26" fillId="0" borderId="35" xfId="0" applyNumberFormat="1" applyFont="1" applyFill="1" applyBorder="1" applyAlignment="1">
      <alignment horizontal="center" vertical="center" wrapText="1"/>
    </xf>
    <xf numFmtId="0" fontId="43" fillId="15" borderId="0" xfId="0" applyFont="1" applyFill="1" applyBorder="1" applyAlignment="1">
      <alignment horizontal="center" vertical="center" wrapText="1"/>
    </xf>
    <xf numFmtId="0" fontId="26" fillId="0" borderId="0" xfId="0" applyFont="1" applyFill="1" applyBorder="1" applyAlignment="1">
      <alignment horizontal="center" vertical="center" wrapText="1"/>
    </xf>
    <xf numFmtId="0" fontId="42" fillId="0" borderId="0" xfId="0" applyFont="1" applyAlignment="1">
      <alignment horizontal="left" vertical="center"/>
    </xf>
    <xf numFmtId="0" fontId="43" fillId="15" borderId="0" xfId="0" applyFont="1" applyFill="1" applyBorder="1" applyAlignment="1">
      <alignment horizontal="center" vertical="center"/>
    </xf>
    <xf numFmtId="0" fontId="10" fillId="0" borderId="0" xfId="0" applyFont="1" applyFill="1" applyBorder="1" applyAlignment="1">
      <alignment horizontal="left" vertical="center" wrapText="1"/>
    </xf>
    <xf numFmtId="0" fontId="26" fillId="0" borderId="0" xfId="0" applyFont="1" applyAlignment="1" applyProtection="1">
      <alignment horizontal="left" vertical="center"/>
    </xf>
    <xf numFmtId="0" fontId="11" fillId="0" borderId="0" xfId="8" applyFont="1" applyAlignment="1">
      <alignment horizontal="center"/>
    </xf>
    <xf numFmtId="0" fontId="10" fillId="0" borderId="0" xfId="8" applyFont="1" applyAlignment="1">
      <alignment horizontal="left" vertical="top" wrapText="1"/>
    </xf>
    <xf numFmtId="0" fontId="43" fillId="97" borderId="0" xfId="0" applyFont="1" applyFill="1" applyBorder="1" applyAlignment="1" applyProtection="1">
      <alignment horizontal="center" vertical="center"/>
      <protection locked="0"/>
    </xf>
    <xf numFmtId="0" fontId="257" fillId="0" borderId="0" xfId="0" applyFont="1" applyFill="1" applyBorder="1" applyAlignment="1" applyProtection="1">
      <alignment vertical="center"/>
      <protection locked="0"/>
    </xf>
  </cellXfs>
  <cellStyles count="819">
    <cellStyle name="_x000a_386grabber=M" xfId="31"/>
    <cellStyle name="&quot;X&quot; Men" xfId="32"/>
    <cellStyle name="$" xfId="33"/>
    <cellStyle name="$ 2" xfId="34"/>
    <cellStyle name="$ Figures" xfId="35"/>
    <cellStyle name="$ Figures, Sub Total" xfId="36"/>
    <cellStyle name="$ Figures_HUM-QRT2" xfId="37"/>
    <cellStyle name="$m" xfId="38"/>
    <cellStyle name="$m 2" xfId="39"/>
    <cellStyle name="%" xfId="40"/>
    <cellStyle name="%_Copy of Book5 (RQT) (2)" xfId="41"/>
    <cellStyle name="%_Datastream, historical price" xfId="42"/>
    <cellStyle name="%_Nokia_wip" xfId="43"/>
    <cellStyle name="******************************************" xfId="44"/>
    <cellStyle name="?? [0]_??? " xfId="45"/>
    <cellStyle name="?????_VERA" xfId="46"/>
    <cellStyle name="??_  FAB ??  " xfId="47"/>
    <cellStyle name="?Q\?1@" xfId="48"/>
    <cellStyle name="?Q\?1@??X??B?@_x0003__x0003_?_x0005_?_x0001_(?????@_x0003_O_x0003__x0003__x0003_?X???_x0014_?????_x000a_?L???_x0012_D_x0007_?_x000a__x0003_?????_x0013__x0013__x0011_@????A?@_x0003__x0004_?_x0005_?_x0001_X????????$???????????A_x0003__x0001_?_x0013_?ZT????_x0005_?&quot;?&quot;?+?_x0012_??????`R@???_x0001_???A_x0003__x0002_?_x0013_?ZT??_x001d__x0001_?_x0005_?&quot;?&quot;?" xfId="49"/>
    <cellStyle name="?Q\?1@_CSR model" xfId="50"/>
    <cellStyle name="?Q\?m1@?" xfId="51"/>
    <cellStyle name="]_x000a__x000a_Extension=conv.dll_x000a__x000a_MS-DOS Tools Extentions=C:\DOS\MSTOOLS.DLL_x000a__x000a__x000a__x000a_[Settings]_x000a__x000a_UNDELETE.DLL=C:\DOS\MSTOOLS.DLL_x000a__x000a_W" xfId="52"/>
    <cellStyle name="_20090216 PV Forecast Summary" xfId="53"/>
    <cellStyle name="_20090217 PV Forecast Summary V2xls" xfId="54"/>
    <cellStyle name="_20090520 PV Forecast Summary" xfId="55"/>
    <cellStyle name="_20090820 Q3 PV Forecast" xfId="56"/>
    <cellStyle name="_20091118 Q4 PV Forecast" xfId="57"/>
    <cellStyle name="_Aixtron" xfId="58"/>
    <cellStyle name="_Balance Sheet" xfId="59"/>
    <cellStyle name="_BS" xfId="60"/>
    <cellStyle name="_Cash Flow" xfId="61"/>
    <cellStyle name="_Comma" xfId="62"/>
    <cellStyle name="_CSR model" xfId="63"/>
    <cellStyle name="_Currency" xfId="64"/>
    <cellStyle name="_CurrencySheet" xfId="65"/>
    <cellStyle name="_CurrencySpace" xfId="66"/>
    <cellStyle name="_Divisional" xfId="67"/>
    <cellStyle name="_DRAM costs" xfId="68"/>
    <cellStyle name="_EU Tech Hardware_DataPage1" xfId="69"/>
    <cellStyle name="_EU TH Semis_DataPage1" xfId="70"/>
    <cellStyle name="_Financial Model" xfId="71"/>
    <cellStyle name="_Financial model_CSR model" xfId="72"/>
    <cellStyle name="_Financial Model_CurrencySheet" xfId="73"/>
    <cellStyle name="_Financial Model_InfineonnewDM" xfId="74"/>
    <cellStyle name="_Financial Model_STMicro-ModelEdit" xfId="75"/>
    <cellStyle name="_InfineonnewDM" xfId="76"/>
    <cellStyle name="_Inputs" xfId="77"/>
    <cellStyle name="_LCD capex for Jagadish" xfId="78"/>
    <cellStyle name="_LED_Client_model" xfId="79"/>
    <cellStyle name="_Margins charts" xfId="80"/>
    <cellStyle name="_mssec" xfId="81"/>
    <cellStyle name="_Multiple" xfId="82"/>
    <cellStyle name="_MultipleSpace" xfId="83"/>
    <cellStyle name="_ONNN Model 10-20-05" xfId="84"/>
    <cellStyle name="_ONNN Model 11-10-05" xfId="85"/>
    <cellStyle name="_ONNN Model 11-14-05" xfId="86"/>
    <cellStyle name="_ONNN Model 11-4-05" xfId="87"/>
    <cellStyle name="_ONNN Model 12-14-05" xfId="88"/>
    <cellStyle name="_ONNN Model 12-22-05" xfId="89"/>
    <cellStyle name="_ONNN Model 1-9-06" xfId="90"/>
    <cellStyle name="_ONNN Model 2-2-05" xfId="91"/>
    <cellStyle name="_ONNN Model 2-2-06" xfId="92"/>
    <cellStyle name="_ONNN Model 3-27-06" xfId="93"/>
    <cellStyle name="_ONNN Model 4-27-05" xfId="94"/>
    <cellStyle name="_ONNN Model 4-6-06" xfId="95"/>
    <cellStyle name="_ONNN Model 5-9-05" xfId="96"/>
    <cellStyle name="_ONNN Model 7-25-05" xfId="97"/>
    <cellStyle name="_ONNN Model 8-3-05" xfId="98"/>
    <cellStyle name="_Pension1" xfId="99"/>
    <cellStyle name="_Pension3" xfId="100"/>
    <cellStyle name="_Percent" xfId="101"/>
    <cellStyle name="_PercentSpace" xfId="102"/>
    <cellStyle name="_sb" xfId="103"/>
    <cellStyle name="_sdi-model.xls Chart 1" xfId="104"/>
    <cellStyle name="_sdi-model.xls Chart 2" xfId="105"/>
    <cellStyle name="_SEC - handsets" xfId="106"/>
    <cellStyle name="_SEC- Charts" xfId="107"/>
    <cellStyle name="_SEC Report - 19-Mar-02" xfId="108"/>
    <cellStyle name="_SEC1" xfId="109"/>
    <cellStyle name="_SEC-handset data" xfId="110"/>
    <cellStyle name="_Sheet1" xfId="111"/>
    <cellStyle name="_SIRF" xfId="112"/>
    <cellStyle name="_STMicro-ModelEdit" xfId="113"/>
    <cellStyle name="_SUMMARY " xfId="114"/>
    <cellStyle name="_Template Stats" xfId="115"/>
    <cellStyle name="_Valuation" xfId="116"/>
    <cellStyle name="£ BP" xfId="117"/>
    <cellStyle name="¤@¯ë_Capcity" xfId="118"/>
    <cellStyle name="¥ JY" xfId="119"/>
    <cellStyle name="=C:\WINNT35\SYSTEM32\COMMAND.COM" xfId="120"/>
    <cellStyle name="§Q\?1@" xfId="121"/>
    <cellStyle name="§Q\òm1@À" xfId="122"/>
    <cellStyle name="•\Ž¦Ï‚Ý‚ÌƒnƒCƒp[ƒŠƒ“ƒN" xfId="123"/>
    <cellStyle name="•W€_GE 3 MINIMUM" xfId="124"/>
    <cellStyle name="•W_GE 3 MINIMUM" xfId="125"/>
    <cellStyle name="\¦ÏÝÌnCp[N" xfId="126"/>
    <cellStyle name="nCp[N" xfId="127"/>
    <cellStyle name="0" xfId="128"/>
    <cellStyle name="0 decimal figures" xfId="129"/>
    <cellStyle name="0%" xfId="130"/>
    <cellStyle name="0,0_x000d__x000a_NA_x000d__x000a_" xfId="131"/>
    <cellStyle name="0.0" xfId="132"/>
    <cellStyle name="0.0%" xfId="133"/>
    <cellStyle name="0.0_Legend Model - Hero v7" xfId="134"/>
    <cellStyle name="0.00" xfId="135"/>
    <cellStyle name="0.00%" xfId="136"/>
    <cellStyle name="0.00_Legend Model - Hero v7" xfId="137"/>
    <cellStyle name="0_Capex &amp; Depreciation " xfId="138"/>
    <cellStyle name="0_Legend Model - Hero v7" xfId="139"/>
    <cellStyle name="0_LGPLCDmodel1" xfId="140"/>
    <cellStyle name="0_Valuing BP " xfId="141"/>
    <cellStyle name="1parte" xfId="142"/>
    <cellStyle name="2 Decimal $ Figures" xfId="143"/>
    <cellStyle name="2 Decimal Figures" xfId="144"/>
    <cellStyle name="2 Decimal, no $" xfId="145"/>
    <cellStyle name="20 % - Akzent1" xfId="146"/>
    <cellStyle name="20 % - Akzent2" xfId="147"/>
    <cellStyle name="20 % - Akzent3" xfId="148"/>
    <cellStyle name="20 % - Akzent4" xfId="149"/>
    <cellStyle name="20 % - Akzent5" xfId="150"/>
    <cellStyle name="20 % - Akzent6" xfId="151"/>
    <cellStyle name="20% - Accent1" xfId="812" builtinId="30"/>
    <cellStyle name="20% - Accent1 2" xfId="5"/>
    <cellStyle name="20% - Accent3" xfId="816" builtinId="38"/>
    <cellStyle name="2parte" xfId="152"/>
    <cellStyle name="3f1o[0]_LOAN (2)" xfId="153"/>
    <cellStyle name="3f1o_LOAN (2)" xfId="154"/>
    <cellStyle name="40 % - Akzent1" xfId="155"/>
    <cellStyle name="40 % - Akzent2" xfId="156"/>
    <cellStyle name="40 % - Akzent3" xfId="157"/>
    <cellStyle name="40 % - Akzent4" xfId="158"/>
    <cellStyle name="40 % - Akzent5" xfId="159"/>
    <cellStyle name="40 % - Akzent6" xfId="160"/>
    <cellStyle name="40% - Accent1" xfId="813" builtinId="31"/>
    <cellStyle name="60 % - Akzent1" xfId="161"/>
    <cellStyle name="60 % - Akzent2" xfId="162"/>
    <cellStyle name="60 % - Akzent3" xfId="163"/>
    <cellStyle name="60 % - Akzent4" xfId="164"/>
    <cellStyle name="60 % - Akzent5" xfId="165"/>
    <cellStyle name="60 % - Akzent6" xfId="166"/>
    <cellStyle name="60% - Accent2" xfId="815" builtinId="36"/>
    <cellStyle name="60% - Accent3" xfId="817" builtinId="40"/>
    <cellStyle name="752131" xfId="167"/>
    <cellStyle name="A_Block Space" xfId="168"/>
    <cellStyle name="A_BlueLine" xfId="169"/>
    <cellStyle name="A_Do not Change" xfId="170"/>
    <cellStyle name="A_Estimate" xfId="171"/>
    <cellStyle name="A_Memo" xfId="172"/>
    <cellStyle name="A_Normal" xfId="173"/>
    <cellStyle name="A_Normal Forecast" xfId="174"/>
    <cellStyle name="A_Normal Historical" xfId="175"/>
    <cellStyle name="A_Normal_Ace-Out" xfId="176"/>
    <cellStyle name="A_Normal_Hynix Model" xfId="177"/>
    <cellStyle name="A_Normal_Hynix Model - DB Final" xfId="178"/>
    <cellStyle name="A_Normal_Hynix Model - Deutsche" xfId="179"/>
    <cellStyle name="A_Normal_Hynix Model - Final" xfId="180"/>
    <cellStyle name="A_Normal_Hynix Model - I" xfId="181"/>
    <cellStyle name="A_Normal_Hynix Model - New" xfId="182"/>
    <cellStyle name="A_Normal_Hynix Model - Paul's" xfId="183"/>
    <cellStyle name="A_Normal_SEMCO - Mason's" xfId="184"/>
    <cellStyle name="A_Normal_SEMCO - Mason's III" xfId="185"/>
    <cellStyle name="A_Normal_SEMCO - Paul's" xfId="186"/>
    <cellStyle name="A_Normal_SEMCO Model" xfId="187"/>
    <cellStyle name="A_Rate_Data" xfId="188"/>
    <cellStyle name="A_Rate_Data Historical" xfId="189"/>
    <cellStyle name="A_Rate_Title" xfId="190"/>
    <cellStyle name="A_Simple Title" xfId="191"/>
    <cellStyle name="A_Sum" xfId="192"/>
    <cellStyle name="A_SUM_Row Major" xfId="193"/>
    <cellStyle name="A_SUM_Row Minor" xfId="194"/>
    <cellStyle name="A_Title" xfId="195"/>
    <cellStyle name="A_YearHeadings" xfId="196"/>
    <cellStyle name="Accent1" xfId="811" builtinId="29"/>
    <cellStyle name="Accent1 2" xfId="6"/>
    <cellStyle name="Accent2" xfId="814" builtinId="33"/>
    <cellStyle name="active" xfId="197"/>
    <cellStyle name="active 2" xfId="198"/>
    <cellStyle name="Actual Date" xfId="199"/>
    <cellStyle name="adj_share" xfId="200"/>
    <cellStyle name="AeE- [0]_?c?A " xfId="201"/>
    <cellStyle name="ÅëÈ­ [0]_¸ÅÃâ" xfId="202"/>
    <cellStyle name="AeE­ [0]_¼oAI¼º " xfId="203"/>
    <cellStyle name="AeE- [0]_4PART " xfId="204"/>
    <cellStyle name="AeE­ [0]_6¿u2A°AO " xfId="205"/>
    <cellStyle name="AeE- [0]_64-C STEPPER 줩!줩o?A줩줗(PHOTO) " xfId="206"/>
    <cellStyle name="AeE­ [0]_95³aAN°y¼o·R " xfId="207"/>
    <cellStyle name="AeE- [0]_953aAN줩y?o좵R " xfId="208"/>
    <cellStyle name="AeE­ [0]_C°¸nº° " xfId="209"/>
    <cellStyle name="AeE- [0]_C줩좲no줩 " xfId="210"/>
    <cellStyle name="AeE­ [0]_Sheet1 " xfId="211"/>
    <cellStyle name="AeE-_?c?A " xfId="212"/>
    <cellStyle name="ÅëÈ­_¸ÅÃâ" xfId="213"/>
    <cellStyle name="AeE­_¼oAI¼º " xfId="214"/>
    <cellStyle name="AeE-_4PART " xfId="215"/>
    <cellStyle name="AeE­_6¿u2A°AO " xfId="216"/>
    <cellStyle name="AeE-_64-C STEPPER 줩!줩o?A줩줗(PHOTO) " xfId="217"/>
    <cellStyle name="AeE­_95³aAN°y¼o·R " xfId="218"/>
    <cellStyle name="AeE-_953aAN줩y?o좵R " xfId="219"/>
    <cellStyle name="AeE­_C°¸nº° " xfId="220"/>
    <cellStyle name="AeE-_C줩좲no줩 " xfId="221"/>
    <cellStyle name="AeE­_Sheet1 " xfId="222"/>
    <cellStyle name="AFE" xfId="223"/>
    <cellStyle name="AFE 2" xfId="224"/>
    <cellStyle name="Afjusted" xfId="225"/>
    <cellStyle name="Akzent1" xfId="226"/>
    <cellStyle name="Akzent2" xfId="227"/>
    <cellStyle name="Akzent3" xfId="228"/>
    <cellStyle name="Akzent4" xfId="229"/>
    <cellStyle name="Akzent5" xfId="230"/>
    <cellStyle name="Akzent6" xfId="231"/>
    <cellStyle name="Analyst Name" xfId="232"/>
    <cellStyle name="Arial 10" xfId="233"/>
    <cellStyle name="Arial 10 2" xfId="234"/>
    <cellStyle name="Arial 12" xfId="235"/>
    <cellStyle name="Arial6Bold" xfId="236"/>
    <cellStyle name="Arial8Bold" xfId="237"/>
    <cellStyle name="Arial8Italic" xfId="238"/>
    <cellStyle name="ArialNormal" xfId="239"/>
    <cellStyle name="Array" xfId="240"/>
    <cellStyle name="Array Enter" xfId="241"/>
    <cellStyle name="ÄÞ¸¶ [0]_¸ÅÃâ" xfId="242"/>
    <cellStyle name="AÞ¸¶ [0]_¼oAI¼º " xfId="243"/>
    <cellStyle name="ÄÞ¸¶_¸ÅÃâ" xfId="244"/>
    <cellStyle name="AÞ¸¶_¼oAI¼º " xfId="245"/>
    <cellStyle name="AT좲? [0]_?c?A " xfId="246"/>
    <cellStyle name="AT좲?_?c?A " xfId="247"/>
    <cellStyle name="Ausgabe" xfId="248"/>
    <cellStyle name="Availability" xfId="249"/>
    <cellStyle name="Availability 2" xfId="250"/>
    <cellStyle name="Background" xfId="251"/>
    <cellStyle name="Bad" xfId="808" builtinId="27"/>
    <cellStyle name="BalanceSheet" xfId="252"/>
    <cellStyle name="Banner" xfId="253"/>
    <cellStyle name="Berechnung" xfId="254"/>
    <cellStyle name="black - Style1" xfId="255"/>
    <cellStyle name="Black Decimal" xfId="256"/>
    <cellStyle name="Black Dollar" xfId="257"/>
    <cellStyle name="Black EPS" xfId="258"/>
    <cellStyle name="Black Percent" xfId="259"/>
    <cellStyle name="Black Times" xfId="260"/>
    <cellStyle name="Blank" xfId="261"/>
    <cellStyle name="Blank [1%]" xfId="262"/>
    <cellStyle name="Blank [1%] 2" xfId="263"/>
    <cellStyle name="Blank [1,]" xfId="264"/>
    <cellStyle name="Blank [1,] 2" xfId="265"/>
    <cellStyle name="Blank [3$]" xfId="266"/>
    <cellStyle name="Blank [3$] 2" xfId="267"/>
    <cellStyle name="Blank [3%]" xfId="268"/>
    <cellStyle name="Blank [3%] 2" xfId="269"/>
    <cellStyle name="BlankP" xfId="270"/>
    <cellStyle name="Bleu" xfId="271"/>
    <cellStyle name="Blue" xfId="272"/>
    <cellStyle name="Blue Decimal" xfId="273"/>
    <cellStyle name="Blue Dollar" xfId="274"/>
    <cellStyle name="Blue EPS" xfId="275"/>
    <cellStyle name="Blue Shading" xfId="276"/>
    <cellStyle name="Blue Text" xfId="277"/>
    <cellStyle name="Blue Zero Deci" xfId="278"/>
    <cellStyle name="Blue_Aixtron" xfId="279"/>
    <cellStyle name="Bold Italic + Line Top" xfId="280"/>
    <cellStyle name="Bold Text" xfId="281"/>
    <cellStyle name="Bold Text %" xfId="282"/>
    <cellStyle name="Bold Text + Line Top" xfId="283"/>
    <cellStyle name="Bold/Border" xfId="284"/>
    <cellStyle name="bookman top border" xfId="285"/>
    <cellStyle name="bookman top border1" xfId="286"/>
    <cellStyle name="bookman top border2" xfId="287"/>
    <cellStyle name="Border Heavy" xfId="288"/>
    <cellStyle name="Border Heavy 2" xfId="289"/>
    <cellStyle name="Border Thin" xfId="290"/>
    <cellStyle name="Border Thin 2" xfId="291"/>
    <cellStyle name="British Pound" xfId="292"/>
    <cellStyle name="Bullet" xfId="293"/>
    <cellStyle name="c" xfId="294"/>
    <cellStyle name="c_HardInc " xfId="295"/>
    <cellStyle name="c_Legend Model - Hero v7" xfId="296"/>
    <cellStyle name="c_Legend Model - Hero v7_LGPLCDmodel1" xfId="297"/>
    <cellStyle name="C￥AØ_  FAB AIA¤  " xfId="298"/>
    <cellStyle name="Ç¥ÁØ_(Á¤º¸ºÎ¹®)¿ùº°ÀÎ¿ø°èÈ¹" xfId="299"/>
    <cellStyle name="C￥AØ_¿¹≫e¿aA≫ " xfId="300"/>
    <cellStyle name="Ç¥ÁØ_Sheet1_1" xfId="301"/>
    <cellStyle name="Calc Currency (0)" xfId="302"/>
    <cellStyle name="Calc Currency (2)" xfId="303"/>
    <cellStyle name="Calc Percent (0)" xfId="304"/>
    <cellStyle name="Calc Percent (1)" xfId="305"/>
    <cellStyle name="Calc Percent (2)" xfId="306"/>
    <cellStyle name="Calc Units (0)" xfId="307"/>
    <cellStyle name="Calc Units (1)" xfId="308"/>
    <cellStyle name="Calc Units (2)" xfId="309"/>
    <cellStyle name="CashFlow" xfId="310"/>
    <cellStyle name="Change" xfId="311"/>
    <cellStyle name="Changeable" xfId="312"/>
    <cellStyle name="ChartingText" xfId="313"/>
    <cellStyle name="Check Cell" xfId="810" builtinId="23"/>
    <cellStyle name="Co. Names" xfId="314"/>
    <cellStyle name="Co. Names 2" xfId="315"/>
    <cellStyle name="Code" xfId="316"/>
    <cellStyle name="Colhead_left" xfId="317"/>
    <cellStyle name="ColHeading" xfId="318"/>
    <cellStyle name="colheadleft" xfId="319"/>
    <cellStyle name="colheadleft 2" xfId="320"/>
    <cellStyle name="colheadright" xfId="321"/>
    <cellStyle name="colheadright 2" xfId="322"/>
    <cellStyle name="Column Heading" xfId="323"/>
    <cellStyle name="Column Heading 2" xfId="324"/>
    <cellStyle name="Column Title" xfId="325"/>
    <cellStyle name="ColumnHeaderNormal" xfId="326"/>
    <cellStyle name="ColumnHeading" xfId="327"/>
    <cellStyle name="Comma" xfId="818" builtinId="3"/>
    <cellStyle name="Comma  - Style1" xfId="328"/>
    <cellStyle name="Comma  - Style2" xfId="329"/>
    <cellStyle name="Comma  - Style3" xfId="330"/>
    <cellStyle name="Comma  - Style4" xfId="331"/>
    <cellStyle name="Comma  - Style5" xfId="332"/>
    <cellStyle name="Comma  - Style6" xfId="333"/>
    <cellStyle name="Comma  - Style7" xfId="334"/>
    <cellStyle name="Comma  - Style8" xfId="335"/>
    <cellStyle name="comma - number" xfId="336"/>
    <cellStyle name="Comma (1)" xfId="337"/>
    <cellStyle name="Comma ," xfId="338"/>
    <cellStyle name="Comma [00]" xfId="339"/>
    <cellStyle name="Comma [1]" xfId="340"/>
    <cellStyle name="Comma [1] 2" xfId="341"/>
    <cellStyle name="Comma [2]" xfId="342"/>
    <cellStyle name="Comma 0" xfId="343"/>
    <cellStyle name="Comma-- 0" xfId="344"/>
    <cellStyle name="Comma 0*" xfId="345"/>
    <cellStyle name="Comma 0_Financial Model" xfId="346"/>
    <cellStyle name="Comma-- 1" xfId="347"/>
    <cellStyle name="Comma 2" xfId="3"/>
    <cellStyle name="Comma-- 2" xfId="348"/>
    <cellStyle name="Comma 2 2" xfId="10"/>
    <cellStyle name="Comma 2 2 2" xfId="349"/>
    <cellStyle name="Comma 2 3" xfId="350"/>
    <cellStyle name="Comma 2 4" xfId="351"/>
    <cellStyle name="Comma 3" xfId="12"/>
    <cellStyle name="Comma 3 2" xfId="17"/>
    <cellStyle name="Comma 3 3" xfId="352"/>
    <cellStyle name="Comma no decimal" xfId="353"/>
    <cellStyle name="Comma.00" xfId="354"/>
    <cellStyle name="comma[0]" xfId="355"/>
    <cellStyle name="Comma[1]" xfId="356"/>
    <cellStyle name="Comma[1] 2" xfId="357"/>
    <cellStyle name="Comma0" xfId="358"/>
    <cellStyle name="comma-d" xfId="359"/>
    <cellStyle name="Comment" xfId="360"/>
    <cellStyle name="Company" xfId="361"/>
    <cellStyle name="Comps" xfId="362"/>
    <cellStyle name="CurRatio" xfId="363"/>
    <cellStyle name="Currency [00]" xfId="364"/>
    <cellStyle name="Currency [2]" xfId="365"/>
    <cellStyle name="Currency 0" xfId="366"/>
    <cellStyle name="Currency-- 0" xfId="367"/>
    <cellStyle name="Currency 2" xfId="368"/>
    <cellStyle name="Currency-- 2" xfId="369"/>
    <cellStyle name="Currency 3" xfId="370"/>
    <cellStyle name="Currency[0]" xfId="371"/>
    <cellStyle name="Currency[0] 2" xfId="372"/>
    <cellStyle name="Currency[1]" xfId="373"/>
    <cellStyle name="Currency[1] 2" xfId="374"/>
    <cellStyle name="Currency[2]" xfId="375"/>
    <cellStyle name="Currency[2] 2" xfId="376"/>
    <cellStyle name="Currency0" xfId="377"/>
    <cellStyle name="CUS.Work.Area" xfId="378"/>
    <cellStyle name="C줔AO_  FAB AIA?  " xfId="379"/>
    <cellStyle name="d_yield" xfId="380"/>
    <cellStyle name="d_yield 2" xfId="381"/>
    <cellStyle name="d_yield_ACTR" xfId="382"/>
    <cellStyle name="d_yield_AMD" xfId="383"/>
    <cellStyle name="d_yield_Book1" xfId="384"/>
    <cellStyle name="d_yield_CSR model" xfId="385"/>
    <cellStyle name="d_yield_CurrencySheet" xfId="386"/>
    <cellStyle name="d_yield_InfineonnewDM" xfId="387"/>
    <cellStyle name="d_yield_INTC" xfId="388"/>
    <cellStyle name="d_yield_MU" xfId="389"/>
    <cellStyle name="d_yield_STMicro-ModelEdit" xfId="390"/>
    <cellStyle name="Dash" xfId="391"/>
    <cellStyle name="Data" xfId="392"/>
    <cellStyle name="DataEntry" xfId="393"/>
    <cellStyle name="DataEntry%" xfId="394"/>
    <cellStyle name="Date" xfId="395"/>
    <cellStyle name="Date - Style4" xfId="396"/>
    <cellStyle name="Date [M/D/Y]" xfId="397"/>
    <cellStyle name="Date [M/D/Y] 2" xfId="398"/>
    <cellStyle name="Date [mmm-yy]" xfId="399"/>
    <cellStyle name="Date Aligned" xfId="400"/>
    <cellStyle name="Date Short" xfId="401"/>
    <cellStyle name="Date Short 2" xfId="402"/>
    <cellStyle name="Date_adtn" xfId="403"/>
    <cellStyle name="Date2" xfId="404"/>
    <cellStyle name="Dates" xfId="405"/>
    <cellStyle name="DateYear" xfId="406"/>
    <cellStyle name="Dezimal (0.0)" xfId="407"/>
    <cellStyle name="Dezimal [0]_97_INH" xfId="408"/>
    <cellStyle name="Dezimal_97_INH" xfId="409"/>
    <cellStyle name="Dollar" xfId="410"/>
    <cellStyle name="dollar[0]" xfId="411"/>
    <cellStyle name="Dollar_LED_Client_model" xfId="412"/>
    <cellStyle name="Dollars" xfId="413"/>
    <cellStyle name="DollarWhole" xfId="414"/>
    <cellStyle name="Dotted Line" xfId="415"/>
    <cellStyle name="Double Accounting" xfId="416"/>
    <cellStyle name="Download" xfId="417"/>
    <cellStyle name="dp*NumberGeneral" xfId="418"/>
    <cellStyle name="Eingabe" xfId="419"/>
    <cellStyle name="Empty" xfId="420"/>
    <cellStyle name="Enter Currency (0)" xfId="421"/>
    <cellStyle name="Enter Currency (2)" xfId="422"/>
    <cellStyle name="Enter Units (0)" xfId="423"/>
    <cellStyle name="Enter Units (1)" xfId="424"/>
    <cellStyle name="Enter Units (2)" xfId="425"/>
    <cellStyle name="Entry" xfId="426"/>
    <cellStyle name="EPS" xfId="427"/>
    <cellStyle name="eps$" xfId="428"/>
    <cellStyle name="eps$ 2" xfId="429"/>
    <cellStyle name="eps$A" xfId="430"/>
    <cellStyle name="eps$A 2" xfId="431"/>
    <cellStyle name="eps$E" xfId="432"/>
    <cellStyle name="eps$E 2" xfId="433"/>
    <cellStyle name="eps_ACTR" xfId="434"/>
    <cellStyle name="epsA" xfId="435"/>
    <cellStyle name="epsA 2" xfId="436"/>
    <cellStyle name="EPSActual" xfId="437"/>
    <cellStyle name="epsE" xfId="438"/>
    <cellStyle name="epsE 2" xfId="439"/>
    <cellStyle name="EPSEstimate" xfId="440"/>
    <cellStyle name="Ergebnis" xfId="441"/>
    <cellStyle name="Erklärender Text" xfId="442"/>
    <cellStyle name="Est - $" xfId="443"/>
    <cellStyle name="Est - %" xfId="444"/>
    <cellStyle name="Est 0,000.0" xfId="445"/>
    <cellStyle name="Euro" xfId="446"/>
    <cellStyle name="Excel Built-in Normal" xfId="447"/>
    <cellStyle name="FF_EURO" xfId="448"/>
    <cellStyle name="Fixed" xfId="449"/>
    <cellStyle name="ƒnƒCƒp[ƒŠƒ“ƒN" xfId="450"/>
    <cellStyle name="fnRegressQ" xfId="451"/>
    <cellStyle name="Footnote" xfId="452"/>
    <cellStyle name="fourdecplace" xfId="453"/>
    <cellStyle name="fy_eps$" xfId="454"/>
    <cellStyle name="g_rate" xfId="455"/>
    <cellStyle name="g_rate 2" xfId="456"/>
    <cellStyle name="g_rate_ACTR" xfId="457"/>
    <cellStyle name="g_rate_AMD" xfId="458"/>
    <cellStyle name="g_rate_Book1" xfId="459"/>
    <cellStyle name="g_rate_CSR model" xfId="460"/>
    <cellStyle name="g_rate_CurrencySheet" xfId="461"/>
    <cellStyle name="g_rate_InfineonnewDM" xfId="462"/>
    <cellStyle name="g_rate_INTC" xfId="463"/>
    <cellStyle name="g_rate_MU" xfId="464"/>
    <cellStyle name="g_rate_STMicro-ModelEdit" xfId="465"/>
    <cellStyle name="Gen. Number" xfId="466"/>
    <cellStyle name="Gen. Percent" xfId="467"/>
    <cellStyle name="Gen.Number" xfId="468"/>
    <cellStyle name="General" xfId="469"/>
    <cellStyle name="Good" xfId="29" builtinId="26"/>
    <cellStyle name="Grey" xfId="470"/>
    <cellStyle name="GrowthRate" xfId="471"/>
    <cellStyle name="GrowthSeq" xfId="472"/>
    <cellStyle name="Gut" xfId="473"/>
    <cellStyle name="Hard input" xfId="474"/>
    <cellStyle name="Hard Percent" xfId="475"/>
    <cellStyle name="HeadCol" xfId="476"/>
    <cellStyle name="Header" xfId="477"/>
    <cellStyle name="Header1" xfId="478"/>
    <cellStyle name="Header2" xfId="479"/>
    <cellStyle name="Heading" xfId="480"/>
    <cellStyle name="Heading1" xfId="481"/>
    <cellStyle name="Heading2" xfId="482"/>
    <cellStyle name="HeadingS" xfId="483"/>
    <cellStyle name="Hheader" xfId="484"/>
    <cellStyle name="Hi" xfId="485"/>
    <cellStyle name="HIGHLIGHT" xfId="486"/>
    <cellStyle name="Hist inmatning" xfId="487"/>
    <cellStyle name="IncomeStatement" xfId="488"/>
    <cellStyle name="InLink" xfId="489"/>
    <cellStyle name="inmatn_italic" xfId="490"/>
    <cellStyle name="inmatning" xfId="491"/>
    <cellStyle name="Input [yellow]" xfId="492"/>
    <cellStyle name="Input Titles" xfId="493"/>
    <cellStyle name="Input%" xfId="494"/>
    <cellStyle name="Input1dp" xfId="495"/>
    <cellStyle name="InputBlueFont" xfId="496"/>
    <cellStyle name="InputDate" xfId="497"/>
    <cellStyle name="InputDecimal" xfId="498"/>
    <cellStyle name="InputDescriptions" xfId="499"/>
    <cellStyle name="InputHeading1" xfId="500"/>
    <cellStyle name="inputPercent1dp" xfId="501"/>
    <cellStyle name="InputValue" xfId="502"/>
    <cellStyle name="Integer" xfId="503"/>
    <cellStyle name="IntInputBk" xfId="504"/>
    <cellStyle name="IntInputBu" xfId="505"/>
    <cellStyle name="Invisible" xfId="506"/>
    <cellStyle name="Item" xfId="507"/>
    <cellStyle name="Items_Optional" xfId="508"/>
    <cellStyle name="ItemTypeClass" xfId="509"/>
    <cellStyle name="James" xfId="510"/>
    <cellStyle name="'Jul 29" xfId="511"/>
    <cellStyle name="'Jul 29 2" xfId="512"/>
    <cellStyle name="Komma [0]_laroux" xfId="513"/>
    <cellStyle name="Komma_laroux" xfId="514"/>
    <cellStyle name="kopregel" xfId="515"/>
    <cellStyle name="KP_Normal" xfId="516"/>
    <cellStyle name="Länkinm" xfId="517"/>
    <cellStyle name="LEVERS69" xfId="518"/>
    <cellStyle name="Link Currency (0)" xfId="519"/>
    <cellStyle name="Link Currency (2)" xfId="520"/>
    <cellStyle name="Link Units (0)" xfId="521"/>
    <cellStyle name="Link Units (1)" xfId="522"/>
    <cellStyle name="Link Units (2)" xfId="523"/>
    <cellStyle name="Linked" xfId="524"/>
    <cellStyle name="Linked Cell" xfId="809" builtinId="24"/>
    <cellStyle name="m" xfId="525"/>
    <cellStyle name="m 2" xfId="526"/>
    <cellStyle name="m$" xfId="527"/>
    <cellStyle name="m$ 2" xfId="528"/>
    <cellStyle name="m_ACTR" xfId="529"/>
    <cellStyle name="m_AMD" xfId="530"/>
    <cellStyle name="m_Book1" xfId="531"/>
    <cellStyle name="m_CSR model" xfId="532"/>
    <cellStyle name="m_CurrencySheet" xfId="533"/>
    <cellStyle name="m_InfineonnewDM" xfId="534"/>
    <cellStyle name="m_INTC" xfId="535"/>
    <cellStyle name="m_MU" xfId="536"/>
    <cellStyle name="m_STMicro-ModelEdit" xfId="537"/>
    <cellStyle name="MacroCode" xfId="538"/>
    <cellStyle name="Main Text" xfId="539"/>
    <cellStyle name="Main Text + Line Bot" xfId="540"/>
    <cellStyle name="Main Text + Line Top" xfId="541"/>
    <cellStyle name="Margins" xfId="542"/>
    <cellStyle name="Migliaia_Foglio1" xfId="543"/>
    <cellStyle name="Mike" xfId="544"/>
    <cellStyle name="Milliers [0]_AR1194" xfId="545"/>
    <cellStyle name="Milliers_AR1194" xfId="546"/>
    <cellStyle name="Millions" xfId="547"/>
    <cellStyle name="mine" xfId="548"/>
    <cellStyle name="mirela" xfId="549"/>
    <cellStyle name="mm" xfId="550"/>
    <cellStyle name="mm 2" xfId="551"/>
    <cellStyle name="Model" xfId="552"/>
    <cellStyle name="Moeda [0]_Data Template" xfId="553"/>
    <cellStyle name="Moeda_Data Template" xfId="554"/>
    <cellStyle name="Monétaire [0]_AR1194" xfId="555"/>
    <cellStyle name="Monétaire_AR1194" xfId="556"/>
    <cellStyle name="mult" xfId="557"/>
    <cellStyle name="Multiple" xfId="558"/>
    <cellStyle name="MultipleBelow" xfId="559"/>
    <cellStyle name="Mutliple" xfId="560"/>
    <cellStyle name="NA" xfId="561"/>
    <cellStyle name="NavStyleDefault" xfId="562"/>
    <cellStyle name="neg0.0" xfId="563"/>
    <cellStyle name="Neutral" xfId="18" builtinId="28"/>
    <cellStyle name="Neutral 2" xfId="564"/>
    <cellStyle name="NewColumnHeaderNormal" xfId="565"/>
    <cellStyle name="NewSectionHeaderNormal" xfId="566"/>
    <cellStyle name="NewTitleNormal" xfId="567"/>
    <cellStyle name="no dec" xfId="568"/>
    <cellStyle name="Nodmal" xfId="569"/>
    <cellStyle name="Non_Input_Cell_Figures" xfId="570"/>
    <cellStyle name="Normal" xfId="0" builtinId="0"/>
    <cellStyle name="Normal - Style1" xfId="571"/>
    <cellStyle name="Normal [1]" xfId="572"/>
    <cellStyle name="Normal [2]" xfId="573"/>
    <cellStyle name="Normal [3]" xfId="574"/>
    <cellStyle name="Normal 2" xfId="7"/>
    <cellStyle name="Normal 2 2" xfId="15"/>
    <cellStyle name="Normal 2 2 2" xfId="22"/>
    <cellStyle name="Normal 2 2 3" xfId="575"/>
    <cellStyle name="Normal 2 3" xfId="23"/>
    <cellStyle name="Normal 3" xfId="8"/>
    <cellStyle name="Normal 3 2" xfId="13"/>
    <cellStyle name="Normal 3 3" xfId="20"/>
    <cellStyle name="Normal 3 4" xfId="576"/>
    <cellStyle name="Normal 4" xfId="19"/>
    <cellStyle name="Normal 4 2" xfId="577"/>
    <cellStyle name="Normal 4 3" xfId="578"/>
    <cellStyle name="Normal 5" xfId="2"/>
    <cellStyle name="Normal 5 2" xfId="9"/>
    <cellStyle name="Normal 5 2 2" xfId="16"/>
    <cellStyle name="Normal 5 2 2 2" xfId="24"/>
    <cellStyle name="Normal 5 2 3" xfId="25"/>
    <cellStyle name="Normal 5 2 4" xfId="579"/>
    <cellStyle name="Normal 5 3" xfId="14"/>
    <cellStyle name="Normal 5 3 2" xfId="26"/>
    <cellStyle name="Normal 5 4" xfId="27"/>
    <cellStyle name="Normal 5 5" xfId="580"/>
    <cellStyle name="Normal 6" xfId="21"/>
    <cellStyle name="Normal 7" xfId="28"/>
    <cellStyle name="Normal 8" xfId="581"/>
    <cellStyle name="Normal Bold" xfId="582"/>
    <cellStyle name="Normal(cntr)" xfId="583"/>
    <cellStyle name="Normal1dp" xfId="584"/>
    <cellStyle name="Normal2dp" xfId="585"/>
    <cellStyle name="Normale_Ratios" xfId="586"/>
    <cellStyle name="NormalGB" xfId="587"/>
    <cellStyle name="NormalŸASSD-CF.XLS" xfId="588"/>
    <cellStyle name="NOT" xfId="589"/>
    <cellStyle name="Notes" xfId="590"/>
    <cellStyle name="Notiz" xfId="591"/>
    <cellStyle name="Number" xfId="592"/>
    <cellStyle name="Numbers" xfId="593"/>
    <cellStyle name="Numbers - Bold" xfId="594"/>
    <cellStyle name="Numbers - Bold 2" xfId="595"/>
    <cellStyle name="Numbers 2" xfId="596"/>
    <cellStyle name="Numbers 3" xfId="597"/>
    <cellStyle name="Numbers 4" xfId="598"/>
    <cellStyle name="Numbers_increm pf" xfId="599"/>
    <cellStyle name="NumberX" xfId="600"/>
    <cellStyle name="Œ…‹æØ‚è [0.00]_GE 3 MINIMUM" xfId="601"/>
    <cellStyle name="Œ…‹æØ‚è_GE 3 MINIMUM" xfId="602"/>
    <cellStyle name="Onedec_FT Valuation " xfId="603"/>
    <cellStyle name="outh America" xfId="604"/>
    <cellStyle name="Output (1dp#)" xfId="605"/>
    <cellStyle name="Override" xfId="606"/>
    <cellStyle name="p " xfId="607"/>
    <cellStyle name="Page Heading Large" xfId="608"/>
    <cellStyle name="Page Heading Small" xfId="609"/>
    <cellStyle name="Page Number" xfId="610"/>
    <cellStyle name="PB Table Heading" xfId="611"/>
    <cellStyle name="PB Table Highlight1" xfId="612"/>
    <cellStyle name="PB Table Highlight2" xfId="613"/>
    <cellStyle name="PB Table Highlight3" xfId="614"/>
    <cellStyle name="PB Table Standard Row" xfId="615"/>
    <cellStyle name="PB Table Subtotal Row" xfId="616"/>
    <cellStyle name="PB Table Total Row" xfId="617"/>
    <cellStyle name="pb_page_heading_LS" xfId="618"/>
    <cellStyle name="pe" xfId="619"/>
    <cellStyle name="pe 2" xfId="620"/>
    <cellStyle name="PEG" xfId="621"/>
    <cellStyle name="PEG 2" xfId="622"/>
    <cellStyle name="Percent" xfId="1" builtinId="5"/>
    <cellStyle name="Percent ()" xfId="623"/>
    <cellStyle name="Percent (0)" xfId="624"/>
    <cellStyle name="Percent [0]" xfId="625"/>
    <cellStyle name="Percent [00]" xfId="626"/>
    <cellStyle name="Percent [2]" xfId="627"/>
    <cellStyle name="Percent-- 0R" xfId="628"/>
    <cellStyle name="Percent 1 Decimal" xfId="629"/>
    <cellStyle name="Percent 10" xfId="630"/>
    <cellStyle name="Percent 2" xfId="4"/>
    <cellStyle name="Percent 2 2" xfId="11"/>
    <cellStyle name="Percent 2 2 2" xfId="631"/>
    <cellStyle name="Percent 2 3" xfId="632"/>
    <cellStyle name="Percent 3" xfId="30"/>
    <cellStyle name="Percent 4" xfId="633"/>
    <cellStyle name="Percent Hard" xfId="634"/>
    <cellStyle name="Percent(1)" xfId="635"/>
    <cellStyle name="Percent(1) 2" xfId="636"/>
    <cellStyle name="Percent, 1 decimals" xfId="637"/>
    <cellStyle name="Percent, 1 decimals, Italic" xfId="638"/>
    <cellStyle name="Percent, 2 decimals" xfId="639"/>
    <cellStyle name="Percent.0" xfId="640"/>
    <cellStyle name="Percent[0]" xfId="641"/>
    <cellStyle name="Percent[0] 2" xfId="642"/>
    <cellStyle name="Percent[1]" xfId="643"/>
    <cellStyle name="Percent[1] 2" xfId="644"/>
    <cellStyle name="percentage" xfId="645"/>
    <cellStyle name="PercentChange" xfId="646"/>
    <cellStyle name="PercentPresentation" xfId="647"/>
    <cellStyle name="PerShare" xfId="648"/>
    <cellStyle name="POPS" xfId="649"/>
    <cellStyle name="pound" xfId="650"/>
    <cellStyle name="ppt" xfId="651"/>
    <cellStyle name="ppt 2" xfId="652"/>
    <cellStyle name="ppt[1]" xfId="653"/>
    <cellStyle name="ppt[1] 2" xfId="654"/>
    <cellStyle name="PrePop Currency (0)" xfId="655"/>
    <cellStyle name="PrePop Currency (2)" xfId="656"/>
    <cellStyle name="PrePop Units (0)" xfId="657"/>
    <cellStyle name="PrePop Units (1)" xfId="658"/>
    <cellStyle name="PrePop Units (2)" xfId="659"/>
    <cellStyle name="Presentation" xfId="660"/>
    <cellStyle name="PresentationZero" xfId="661"/>
    <cellStyle name="Price" xfId="662"/>
    <cellStyle name="Problem" xfId="663"/>
    <cellStyle name="Profit figure" xfId="664"/>
    <cellStyle name="ProgramVariable" xfId="665"/>
    <cellStyle name="PROJECT" xfId="666"/>
    <cellStyle name="PROJECT R" xfId="667"/>
    <cellStyle name="ProjectionInput" xfId="668"/>
    <cellStyle name="Provisional" xfId="669"/>
    <cellStyle name="Provisional 2" xfId="670"/>
    <cellStyle name="PSChar" xfId="671"/>
    <cellStyle name="PSDate" xfId="672"/>
    <cellStyle name="PSDec" xfId="673"/>
    <cellStyle name="PSHeading" xfId="674"/>
    <cellStyle name="PSInt" xfId="675"/>
    <cellStyle name="PSSpacer" xfId="676"/>
    <cellStyle name="Pub percent" xfId="677"/>
    <cellStyle name="q" xfId="678"/>
    <cellStyle name="q 2" xfId="679"/>
    <cellStyle name="q_ACTR" xfId="680"/>
    <cellStyle name="q_AMD" xfId="681"/>
    <cellStyle name="q_Book1" xfId="682"/>
    <cellStyle name="q_CSR model" xfId="683"/>
    <cellStyle name="q_CurrencySheet" xfId="684"/>
    <cellStyle name="q_InfineonnewDM" xfId="685"/>
    <cellStyle name="q_INTC" xfId="686"/>
    <cellStyle name="q_MU" xfId="687"/>
    <cellStyle name="q_STMicro-ModelEdit" xfId="688"/>
    <cellStyle name="Qauntiy, centered" xfId="689"/>
    <cellStyle name="QEPS-h" xfId="690"/>
    <cellStyle name="QEPS-H1" xfId="691"/>
    <cellStyle name="QEPS-H1 2" xfId="692"/>
    <cellStyle name="r" xfId="693"/>
    <cellStyle name="r 2" xfId="694"/>
    <cellStyle name="range" xfId="695"/>
    <cellStyle name="range 2" xfId="696"/>
    <cellStyle name="Ratio" xfId="697"/>
    <cellStyle name="RatioX" xfId="698"/>
    <cellStyle name="Red Text" xfId="699"/>
    <cellStyle name="Ref Numbers" xfId="700"/>
    <cellStyle name="Report" xfId="701"/>
    <cellStyle name="Right" xfId="702"/>
    <cellStyle name="Right 2" xfId="703"/>
    <cellStyle name="Rmess" xfId="704"/>
    <cellStyle name="Rnumber" xfId="705"/>
    <cellStyle name="Rnumber 0d" xfId="706"/>
    <cellStyle name="Rnumber_eurosubs10" xfId="707"/>
    <cellStyle name="Role" xfId="708"/>
    <cellStyle name="Row Ignore" xfId="709"/>
    <cellStyle name="Row Sub Total" xfId="710"/>
    <cellStyle name="Row Title 1" xfId="711"/>
    <cellStyle name="Row Title 2" xfId="712"/>
    <cellStyle name="Row Title 3" xfId="713"/>
    <cellStyle name="Row Title 4 indent" xfId="714"/>
    <cellStyle name="Row Total" xfId="715"/>
    <cellStyle name="RRSInstruction" xfId="716"/>
    <cellStyle name="RRSInstruction 2" xfId="717"/>
    <cellStyle name="s" xfId="718"/>
    <cellStyle name="s_DCFLBO Code" xfId="719"/>
    <cellStyle name="s_DCFLBO Code_1" xfId="720"/>
    <cellStyle name="s_DCFLBO Code_1_Legend Model - Hero v7" xfId="721"/>
    <cellStyle name="s_DCFLBO Code_1_Legend Model - Hero v7_LGPLCDmodel1" xfId="722"/>
    <cellStyle name="s_DCFLBO Code_Legend Model - Hero v7" xfId="723"/>
    <cellStyle name="s_DCFLBO Code_Legend Model - Hero v7_LGPLCDmodel1" xfId="724"/>
    <cellStyle name="s_HardInc " xfId="725"/>
    <cellStyle name="s_Legend Model - Hero v7" xfId="726"/>
    <cellStyle name="s_Legend Model - Hero v7_LGPLCDmodel1" xfId="727"/>
    <cellStyle name="s_Valuation " xfId="728"/>
    <cellStyle name="s_Valuation _LGPLCDmodel1" xfId="729"/>
    <cellStyle name="Salomon Logo" xfId="730"/>
    <cellStyle name="Schlecht" xfId="731"/>
    <cellStyle name="ScripFactor" xfId="732"/>
    <cellStyle name="SCUserDesc" xfId="733"/>
    <cellStyle name="SCUserRow" xfId="734"/>
    <cellStyle name="SDentry" xfId="735"/>
    <cellStyle name="SDheader" xfId="736"/>
    <cellStyle name="SEcategory" xfId="737"/>
    <cellStyle name="SectionHeaderNormal" xfId="738"/>
    <cellStyle name="SectionHeading" xfId="739"/>
    <cellStyle name="SEentry" xfId="740"/>
    <cellStyle name="SEformula" xfId="741"/>
    <cellStyle name="SEheader" xfId="742"/>
    <cellStyle name="SElocked" xfId="743"/>
    <cellStyle name="Separador de milhares [0]_Data Template" xfId="744"/>
    <cellStyle name="Separador de milhares_Data Template" xfId="745"/>
    <cellStyle name="SEPentry" xfId="746"/>
    <cellStyle name="Shaded" xfId="747"/>
    <cellStyle name="Shares" xfId="748"/>
    <cellStyle name="SHeader" xfId="749"/>
    <cellStyle name="SideLabel" xfId="750"/>
    <cellStyle name="Single Accounting" xfId="751"/>
    <cellStyle name="Source Line" xfId="752"/>
    <cellStyle name="SOUserDesc" xfId="753"/>
    <cellStyle name="SOUserRow" xfId="754"/>
    <cellStyle name="SPentry" xfId="755"/>
    <cellStyle name="SPformula" xfId="756"/>
    <cellStyle name="SPheader" xfId="757"/>
    <cellStyle name="SPlocked" xfId="758"/>
    <cellStyle name="SPOl" xfId="759"/>
    <cellStyle name="SPOl 2" xfId="760"/>
    <cellStyle name="Spread_IDTI9595.XLS" xfId="761"/>
    <cellStyle name="SRheader" xfId="762"/>
    <cellStyle name="SS Col Hdr" xfId="763"/>
    <cellStyle name="SS Dim 1 Blank" xfId="764"/>
    <cellStyle name="SS Dim 1 Title" xfId="765"/>
    <cellStyle name="SS Dim 1 Value" xfId="766"/>
    <cellStyle name="SS Dim 2 Blank" xfId="767"/>
    <cellStyle name="SS Dim 2 Blank 2" xfId="768"/>
    <cellStyle name="SS Dim 2 Title" xfId="769"/>
    <cellStyle name="SS Dim 2 Value" xfId="770"/>
    <cellStyle name="SS Dim 3 Blank" xfId="771"/>
    <cellStyle name="SS Dim 3 Blank 2" xfId="772"/>
    <cellStyle name="SS Dim 3 Title" xfId="773"/>
    <cellStyle name="SS Dim 3 Title 2" xfId="774"/>
    <cellStyle name="SS Dim 3 Value" xfId="775"/>
    <cellStyle name="SS Dim 4 Blank" xfId="776"/>
    <cellStyle name="SS Dim 4 Blank 2" xfId="777"/>
    <cellStyle name="SS Dim 4 Title" xfId="778"/>
    <cellStyle name="SS Dim 4 Value" xfId="779"/>
    <cellStyle name="SS Dim 5 Blank" xfId="780"/>
    <cellStyle name="SS Dim 5 Blank 2" xfId="781"/>
    <cellStyle name="SS Dim 5 Title" xfId="782"/>
    <cellStyle name="SS Dim 5 Value" xfId="783"/>
    <cellStyle name="SS Other Measure" xfId="784"/>
    <cellStyle name="SS Sum Measure" xfId="785"/>
    <cellStyle name="SS Unbound Dim" xfId="786"/>
    <cellStyle name="SS WAvg Measure" xfId="787"/>
    <cellStyle name="SS1000" xfId="788"/>
    <cellStyle name="ssp " xfId="789"/>
    <cellStyle name="Standaard_laroux" xfId="790"/>
    <cellStyle name="Standard 2" xfId="791"/>
    <cellStyle name="Standard 2 2" xfId="792"/>
    <cellStyle name="Standard 2_BASF Earnings Estimates_2011_05_02" xfId="793"/>
    <cellStyle name="Style 1" xfId="794"/>
    <cellStyle name="Style 2" xfId="795"/>
    <cellStyle name="Style 23" xfId="796"/>
    <cellStyle name="Style 26" xfId="797"/>
    <cellStyle name="Style 27" xfId="798"/>
    <cellStyle name="Überschrift" xfId="799"/>
    <cellStyle name="Überschrift 1" xfId="800"/>
    <cellStyle name="Überschrift 2" xfId="801"/>
    <cellStyle name="Überschrift 3" xfId="802"/>
    <cellStyle name="Überschrift 4" xfId="803"/>
    <cellStyle name="Verknüpfte Zelle" xfId="804"/>
    <cellStyle name="Warnender Text" xfId="805"/>
    <cellStyle name="Zelle überprüfen" xfId="806"/>
    <cellStyle name="Ввод " xfId="807"/>
  </cellStyles>
  <dxfs count="32">
    <dxf>
      <numFmt numFmtId="19" formatCode="dd/mm/yyyy"/>
    </dxf>
    <dxf>
      <numFmt numFmtId="19" formatCode="dd/mm/yyyy"/>
    </dxf>
    <dxf>
      <numFmt numFmtId="19" formatCode="dd/mm/yyyy"/>
    </dxf>
    <dxf>
      <numFmt numFmtId="19" formatCode="dd/mm/yyyy"/>
    </dxf>
    <dxf>
      <numFmt numFmtId="19" formatCode="dd/mm/yyyy"/>
    </dxf>
    <dxf>
      <fill>
        <patternFill>
          <bgColor rgb="FFFF5050"/>
        </patternFill>
      </fill>
    </dxf>
    <dxf>
      <fill>
        <patternFill>
          <bgColor rgb="FFF58025"/>
        </patternFill>
      </fill>
    </dxf>
    <dxf>
      <fill>
        <patternFill>
          <bgColor rgb="FFFCE76A"/>
        </patternFill>
      </fill>
    </dxf>
    <dxf>
      <fill>
        <patternFill>
          <bgColor rgb="FF92D050"/>
        </patternFill>
      </fill>
    </dxf>
    <dxf>
      <font>
        <color theme="0"/>
      </font>
      <fill>
        <patternFill patternType="solid">
          <fgColor theme="0"/>
          <bgColor theme="0"/>
        </patternFill>
      </fill>
    </dxf>
    <dxf>
      <fill>
        <patternFill>
          <bgColor rgb="FFFF5050"/>
        </patternFill>
      </fill>
    </dxf>
    <dxf>
      <fill>
        <patternFill>
          <bgColor rgb="FFF58025"/>
        </patternFill>
      </fill>
    </dxf>
    <dxf>
      <fill>
        <patternFill>
          <bgColor rgb="FFFCE76A"/>
        </patternFill>
      </fill>
    </dxf>
    <dxf>
      <fill>
        <patternFill>
          <bgColor rgb="FF92D050"/>
        </patternFill>
      </fill>
    </dxf>
    <dxf>
      <font>
        <color theme="0"/>
      </font>
      <fill>
        <patternFill patternType="solid">
          <fgColor theme="0"/>
          <bgColor theme="0"/>
        </patternFill>
      </fill>
    </dxf>
    <dxf>
      <fill>
        <patternFill>
          <bgColor rgb="FFFF5050"/>
        </patternFill>
      </fill>
    </dxf>
    <dxf>
      <fill>
        <patternFill>
          <bgColor rgb="FFF58025"/>
        </patternFill>
      </fill>
    </dxf>
    <dxf>
      <fill>
        <patternFill>
          <bgColor rgb="FFFCE76A"/>
        </patternFill>
      </fill>
    </dxf>
    <dxf>
      <fill>
        <patternFill>
          <bgColor rgb="FF92D050"/>
        </patternFill>
      </fill>
    </dxf>
    <dxf>
      <font>
        <color theme="0"/>
      </font>
      <fill>
        <patternFill patternType="solid">
          <fgColor theme="0"/>
          <bgColor theme="0"/>
        </patternFill>
      </fill>
    </dxf>
    <dxf>
      <fill>
        <patternFill>
          <bgColor rgb="FF63BE7B"/>
        </patternFill>
      </fill>
    </dxf>
    <dxf>
      <fill>
        <patternFill>
          <bgColor rgb="FFADD37F"/>
        </patternFill>
      </fill>
    </dxf>
    <dxf>
      <fill>
        <patternFill>
          <bgColor rgb="FFFCE76A"/>
        </patternFill>
      </fill>
    </dxf>
    <dxf>
      <fill>
        <patternFill>
          <bgColor rgb="FFFCA877"/>
        </patternFill>
      </fill>
    </dxf>
    <dxf>
      <fill>
        <patternFill>
          <bgColor rgb="FFF8696B"/>
        </patternFill>
      </fill>
    </dxf>
    <dxf>
      <fill>
        <patternFill>
          <bgColor theme="0"/>
        </patternFill>
      </fill>
    </dxf>
    <dxf>
      <fill>
        <patternFill>
          <bgColor rgb="FF63BE7B"/>
        </patternFill>
      </fill>
    </dxf>
    <dxf>
      <fill>
        <patternFill>
          <bgColor rgb="FFADD37F"/>
        </patternFill>
      </fill>
    </dxf>
    <dxf>
      <fill>
        <patternFill>
          <bgColor rgb="FFFCE76A"/>
        </patternFill>
      </fill>
    </dxf>
    <dxf>
      <fill>
        <patternFill>
          <bgColor rgb="FFFCA877"/>
        </patternFill>
      </fill>
    </dxf>
    <dxf>
      <fill>
        <patternFill>
          <bgColor rgb="FFF8696B"/>
        </patternFill>
      </fill>
    </dxf>
    <dxf>
      <fill>
        <patternFill>
          <bgColor theme="0"/>
        </patternFill>
      </fill>
    </dxf>
  </dxfs>
  <tableStyles count="0" defaultTableStyle="TableStyleMedium2" defaultPivotStyle="PivotStyleLight16"/>
  <colors>
    <mruColors>
      <color rgb="FF768693"/>
      <color rgb="FFCC00FF"/>
      <color rgb="FF00953A"/>
      <color rgb="FF002856"/>
      <color rgb="FFA5AEB6"/>
      <color rgb="FFAEB7BD"/>
      <color rgb="FF58646D"/>
      <color rgb="FFCDDEF1"/>
      <color rgb="FFC3C6C8"/>
      <color rgb="FFBCBDB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5.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6.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7.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8.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7.xml"/><Relationship Id="rId1" Type="http://schemas.microsoft.com/office/2011/relationships/chartStyle" Target="style17.xml"/></Relationships>
</file>

<file path=xl/charts/_rels/chart19.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0.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19.xml"/><Relationship Id="rId1" Type="http://schemas.microsoft.com/office/2011/relationships/chartStyle" Target="style19.xml"/></Relationships>
</file>

<file path=xl/charts/_rels/chart21.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autoTitleDeleted val="1"/>
    <c:plotArea>
      <c:layout>
        <c:manualLayout>
          <c:layoutTarget val="inner"/>
          <c:xMode val="edge"/>
          <c:yMode val="edge"/>
          <c:x val="0.12562121438460697"/>
          <c:y val="5.383139266296301E-2"/>
          <c:w val="0.86301142865063074"/>
          <c:h val="0.83632207061305341"/>
        </c:manualLayout>
      </c:layout>
      <c:barChart>
        <c:barDir val="col"/>
        <c:grouping val="clustered"/>
        <c:varyColors val="0"/>
        <c:ser>
          <c:idx val="0"/>
          <c:order val="0"/>
          <c:tx>
            <c:v>Earnings Growth</c:v>
          </c:tx>
          <c:spPr>
            <a:solidFill>
              <a:srgbClr val="002856"/>
            </a:solidFill>
          </c:spPr>
          <c:invertIfNegative val="0"/>
          <c:dPt>
            <c:idx val="0"/>
            <c:invertIfNegative val="0"/>
            <c:bubble3D val="0"/>
            <c:extLst>
              <c:ext xmlns:c16="http://schemas.microsoft.com/office/drawing/2014/chart" uri="{C3380CC4-5D6E-409C-BE32-E72D297353CC}">
                <c16:uniqueId val="{00000000-6686-41CC-B511-1EF123E370E6}"/>
              </c:ext>
            </c:extLst>
          </c:dPt>
          <c:dPt>
            <c:idx val="1"/>
            <c:invertIfNegative val="0"/>
            <c:bubble3D val="0"/>
            <c:spPr>
              <a:solidFill>
                <a:srgbClr val="768693"/>
              </a:solidFill>
            </c:spPr>
            <c:extLst>
              <c:ext xmlns:c16="http://schemas.microsoft.com/office/drawing/2014/chart" uri="{C3380CC4-5D6E-409C-BE32-E72D297353CC}">
                <c16:uniqueId val="{00000002-6686-41CC-B511-1EF123E370E6}"/>
              </c:ext>
            </c:extLst>
          </c:dPt>
          <c:dPt>
            <c:idx val="2"/>
            <c:invertIfNegative val="0"/>
            <c:bubble3D val="0"/>
            <c:spPr>
              <a:solidFill>
                <a:srgbClr val="00953A"/>
              </a:solidFill>
            </c:spPr>
            <c:extLst>
              <c:ext xmlns:c16="http://schemas.microsoft.com/office/drawing/2014/chart" uri="{C3380CC4-5D6E-409C-BE32-E72D297353CC}">
                <c16:uniqueId val="{00000004-6686-41CC-B511-1EF123E370E6}"/>
              </c:ext>
            </c:extLst>
          </c:dPt>
          <c:dPt>
            <c:idx val="3"/>
            <c:invertIfNegative val="0"/>
            <c:bubble3D val="0"/>
            <c:extLst>
              <c:ext xmlns:c16="http://schemas.microsoft.com/office/drawing/2014/chart" uri="{C3380CC4-5D6E-409C-BE32-E72D297353CC}">
                <c16:uniqueId val="{00000005-6686-41CC-B511-1EF123E370E6}"/>
              </c:ext>
            </c:extLst>
          </c:dPt>
          <c:dPt>
            <c:idx val="6"/>
            <c:invertIfNegative val="0"/>
            <c:bubble3D val="0"/>
            <c:extLst>
              <c:ext xmlns:c16="http://schemas.microsoft.com/office/drawing/2014/chart" uri="{C3380CC4-5D6E-409C-BE32-E72D297353CC}">
                <c16:uniqueId val="{00000006-6686-41CC-B511-1EF123E370E6}"/>
              </c:ext>
            </c:extLst>
          </c:dPt>
          <c:cat>
            <c:strLit>
              <c:ptCount val="3"/>
              <c:pt idx="0">
                <c:v>EPS Growth Historic</c:v>
              </c:pt>
              <c:pt idx="1">
                <c:v>EPS Growth NTM</c:v>
              </c:pt>
              <c:pt idx="2">
                <c:v>EPS Next 5 Years</c:v>
              </c:pt>
            </c:strLit>
          </c:cat>
          <c:val>
            <c:numRef>
              <c:f>('Company Overview'!$I$46,'Company Overview'!$I$47,'Company Overview'!$I$48)</c:f>
              <c:numCache>
                <c:formatCode>0.0%</c:formatCode>
                <c:ptCount val="3"/>
                <c:pt idx="0">
                  <c:v>0.26154558269707051</c:v>
                </c:pt>
                <c:pt idx="1">
                  <c:v>0.18613935299391646</c:v>
                </c:pt>
                <c:pt idx="2">
                  <c:v>0.14010559079021601</c:v>
                </c:pt>
              </c:numCache>
            </c:numRef>
          </c:val>
          <c:extLst>
            <c:ext xmlns:c16="http://schemas.microsoft.com/office/drawing/2014/chart" uri="{C3380CC4-5D6E-409C-BE32-E72D297353CC}">
              <c16:uniqueId val="{00000007-6686-41CC-B511-1EF123E370E6}"/>
            </c:ext>
          </c:extLst>
        </c:ser>
        <c:dLbls>
          <c:showLegendKey val="0"/>
          <c:showVal val="0"/>
          <c:showCatName val="0"/>
          <c:showSerName val="0"/>
          <c:showPercent val="0"/>
          <c:showBubbleSize val="0"/>
        </c:dLbls>
        <c:gapWidth val="150"/>
        <c:axId val="159071616"/>
        <c:axId val="159081600"/>
      </c:barChart>
      <c:catAx>
        <c:axId val="159071616"/>
        <c:scaling>
          <c:orientation val="minMax"/>
        </c:scaling>
        <c:delete val="0"/>
        <c:axPos val="b"/>
        <c:numFmt formatCode="General" sourceLinked="1"/>
        <c:majorTickMark val="out"/>
        <c:minorTickMark val="none"/>
        <c:tickLblPos val="low"/>
        <c:txPr>
          <a:bodyPr rot="0" vert="horz"/>
          <a:lstStyle/>
          <a:p>
            <a:pPr>
              <a:defRPr/>
            </a:pPr>
            <a:endParaRPr lang="en-US"/>
          </a:p>
        </c:txPr>
        <c:crossAx val="159081600"/>
        <c:crosses val="autoZero"/>
        <c:auto val="1"/>
        <c:lblAlgn val="ctr"/>
        <c:lblOffset val="100"/>
        <c:noMultiLvlLbl val="0"/>
      </c:catAx>
      <c:valAx>
        <c:axId val="159081600"/>
        <c:scaling>
          <c:orientation val="minMax"/>
        </c:scaling>
        <c:delete val="0"/>
        <c:axPos val="l"/>
        <c:majorGridlines/>
        <c:numFmt formatCode="0%" sourceLinked="0"/>
        <c:majorTickMark val="out"/>
        <c:minorTickMark val="none"/>
        <c:tickLblPos val="nextTo"/>
        <c:txPr>
          <a:bodyPr rot="0" vert="horz"/>
          <a:lstStyle/>
          <a:p>
            <a:pPr>
              <a:defRPr/>
            </a:pPr>
            <a:endParaRPr lang="en-US"/>
          </a:p>
        </c:txPr>
        <c:crossAx val="159071616"/>
        <c:crosses val="autoZero"/>
        <c:crossBetween val="between"/>
      </c:valAx>
    </c:plotArea>
    <c:plotVisOnly val="1"/>
    <c:dispBlanksAs val="gap"/>
    <c:showDLblsOverMax val="0"/>
  </c:chart>
  <c:printSettings>
    <c:headerFooter/>
    <c:pageMargins b="0.75" l="0.7" r="0.7" t="0.75" header="0.3" footer="0.3"/>
    <c:pageSetup orientation="portrait"/>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CORPORATE ACTIVITIES REVENUE vs TIME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Sheet3!$D$107:$N$107</c:f>
              <c:numCache>
                <c:formatCode>#,##0_);[Red]\(#,##0\)</c:formatCode>
                <c:ptCount val="11"/>
                <c:pt idx="0" formatCode="General">
                  <c:v>173</c:v>
                </c:pt>
                <c:pt idx="1">
                  <c:v>76</c:v>
                </c:pt>
                <c:pt idx="2">
                  <c:v>71</c:v>
                </c:pt>
                <c:pt idx="3">
                  <c:v>59</c:v>
                </c:pt>
                <c:pt idx="4">
                  <c:v>45</c:v>
                </c:pt>
                <c:pt idx="5">
                  <c:v>45</c:v>
                </c:pt>
                <c:pt idx="6">
                  <c:v>42</c:v>
                </c:pt>
                <c:pt idx="7">
                  <c:v>40</c:v>
                </c:pt>
                <c:pt idx="8">
                  <c:v>38</c:v>
                </c:pt>
                <c:pt idx="9">
                  <c:v>36</c:v>
                </c:pt>
                <c:pt idx="10">
                  <c:v>35</c:v>
                </c:pt>
              </c:numCache>
            </c:numRef>
          </c:val>
          <c:extLst>
            <c:ext xmlns:c16="http://schemas.microsoft.com/office/drawing/2014/chart" uri="{C3380CC4-5D6E-409C-BE32-E72D297353CC}">
              <c16:uniqueId val="{00000000-109B-4576-AE5A-6203B661EF51}"/>
            </c:ext>
          </c:extLst>
        </c:ser>
        <c:dLbls>
          <c:showLegendKey val="0"/>
          <c:showVal val="0"/>
          <c:showCatName val="0"/>
          <c:showSerName val="0"/>
          <c:showPercent val="0"/>
          <c:showBubbleSize val="0"/>
        </c:dLbls>
        <c:gapWidth val="219"/>
        <c:overlap val="-27"/>
        <c:axId val="166694272"/>
        <c:axId val="166696064"/>
      </c:barChart>
      <c:catAx>
        <c:axId val="166694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696064"/>
        <c:crosses val="autoZero"/>
        <c:auto val="1"/>
        <c:lblAlgn val="ctr"/>
        <c:lblOffset val="100"/>
        <c:noMultiLvlLbl val="0"/>
      </c:catAx>
      <c:valAx>
        <c:axId val="1666960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6942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DSM REVENUE vs TIME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Sheet3!$D$130:$N$130</c:f>
              <c:numCache>
                <c:formatCode>0</c:formatCode>
                <c:ptCount val="11"/>
                <c:pt idx="1">
                  <c:v>7722</c:v>
                </c:pt>
                <c:pt idx="2">
                  <c:v>7920</c:v>
                </c:pt>
                <c:pt idx="3">
                  <c:v>8632</c:v>
                </c:pt>
                <c:pt idx="4">
                  <c:v>8852</c:v>
                </c:pt>
                <c:pt idx="5">
                  <c:v>9097.8845235335502</c:v>
                </c:pt>
                <c:pt idx="6">
                  <c:v>9560.6605905914894</c:v>
                </c:pt>
                <c:pt idx="7">
                  <c:v>10059.223759002693</c:v>
                </c:pt>
                <c:pt idx="8">
                  <c:v>10597.290829904889</c:v>
                </c:pt>
                <c:pt idx="9">
                  <c:v>11174.827285726344</c:v>
                </c:pt>
                <c:pt idx="10">
                  <c:v>11796.849610840045</c:v>
                </c:pt>
              </c:numCache>
            </c:numRef>
          </c:val>
          <c:extLst>
            <c:ext xmlns:c16="http://schemas.microsoft.com/office/drawing/2014/chart" uri="{C3380CC4-5D6E-409C-BE32-E72D297353CC}">
              <c16:uniqueId val="{00000000-C28C-4803-8CBC-EAD95FD0A1E6}"/>
            </c:ext>
          </c:extLst>
        </c:ser>
        <c:dLbls>
          <c:showLegendKey val="0"/>
          <c:showVal val="0"/>
          <c:showCatName val="0"/>
          <c:showSerName val="0"/>
          <c:showPercent val="0"/>
          <c:showBubbleSize val="0"/>
        </c:dLbls>
        <c:gapWidth val="219"/>
        <c:overlap val="-27"/>
        <c:axId val="166864000"/>
        <c:axId val="166865536"/>
      </c:barChart>
      <c:catAx>
        <c:axId val="166864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865536"/>
        <c:crosses val="autoZero"/>
        <c:auto val="1"/>
        <c:lblAlgn val="ctr"/>
        <c:lblOffset val="100"/>
        <c:noMultiLvlLbl val="0"/>
      </c:catAx>
      <c:valAx>
        <c:axId val="1668655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86400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NUTRITION EBIT MARGIN vs TIME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v>EBIT Margin</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Sheet3!$E$59:$N$59</c:f>
              <c:numCache>
                <c:formatCode>0.0%</c:formatCode>
                <c:ptCount val="10"/>
                <c:pt idx="0">
                  <c:v>0.1077977030022164</c:v>
                </c:pt>
                <c:pt idx="1">
                  <c:v>0.12478235635519443</c:v>
                </c:pt>
                <c:pt idx="2">
                  <c:v>0.13801756587202008</c:v>
                </c:pt>
                <c:pt idx="3">
                  <c:v>0.14348130024466971</c:v>
                </c:pt>
                <c:pt idx="4">
                  <c:v>0.15626983572177561</c:v>
                </c:pt>
                <c:pt idx="5">
                  <c:v>0.15926983572177561</c:v>
                </c:pt>
                <c:pt idx="6">
                  <c:v>0.16226983572177561</c:v>
                </c:pt>
                <c:pt idx="7">
                  <c:v>0.16526983572177562</c:v>
                </c:pt>
                <c:pt idx="8">
                  <c:v>0.16826983572177562</c:v>
                </c:pt>
                <c:pt idx="9">
                  <c:v>0.17126983572177562</c:v>
                </c:pt>
              </c:numCache>
            </c:numRef>
          </c:val>
          <c:smooth val="0"/>
          <c:extLst>
            <c:ext xmlns:c16="http://schemas.microsoft.com/office/drawing/2014/chart" uri="{C3380CC4-5D6E-409C-BE32-E72D297353CC}">
              <c16:uniqueId val="{00000001-3E80-4935-B33B-F82944C31234}"/>
            </c:ext>
          </c:extLst>
        </c:ser>
        <c:dLbls>
          <c:showLegendKey val="0"/>
          <c:showVal val="0"/>
          <c:showCatName val="0"/>
          <c:showSerName val="0"/>
          <c:showPercent val="0"/>
          <c:showBubbleSize val="0"/>
        </c:dLbls>
        <c:marker val="1"/>
        <c:smooth val="0"/>
        <c:axId val="166889728"/>
        <c:axId val="166891904"/>
      </c:lineChart>
      <c:catAx>
        <c:axId val="166889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891904"/>
        <c:crosses val="autoZero"/>
        <c:auto val="1"/>
        <c:lblAlgn val="ctr"/>
        <c:lblOffset val="100"/>
        <c:noMultiLvlLbl val="0"/>
      </c:catAx>
      <c:valAx>
        <c:axId val="166891904"/>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8897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MATERIAL EBIT MARGIN vs TIME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v>EBIT Margin</c:v>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Sheet3!$E$74:$N$74</c:f>
              <c:numCache>
                <c:formatCode>0.0%</c:formatCode>
                <c:ptCount val="10"/>
                <c:pt idx="0">
                  <c:v>9.8892405063291139E-2</c:v>
                </c:pt>
                <c:pt idx="1">
                  <c:v>0.12375646637485077</c:v>
                </c:pt>
                <c:pt idx="2">
                  <c:v>0.12778761061946903</c:v>
                </c:pt>
                <c:pt idx="3">
                  <c:v>0.1314795743220048</c:v>
                </c:pt>
                <c:pt idx="4">
                  <c:v>0.13371575695159627</c:v>
                </c:pt>
                <c:pt idx="5">
                  <c:v>0.13571575695159627</c:v>
                </c:pt>
                <c:pt idx="6">
                  <c:v>0.13771575695159627</c:v>
                </c:pt>
                <c:pt idx="7">
                  <c:v>0.13971575695159627</c:v>
                </c:pt>
                <c:pt idx="8">
                  <c:v>0.14171575695159627</c:v>
                </c:pt>
                <c:pt idx="9">
                  <c:v>0.14371575695159627</c:v>
                </c:pt>
              </c:numCache>
            </c:numRef>
          </c:val>
          <c:smooth val="0"/>
          <c:extLst>
            <c:ext xmlns:c16="http://schemas.microsoft.com/office/drawing/2014/chart" uri="{C3380CC4-5D6E-409C-BE32-E72D297353CC}">
              <c16:uniqueId val="{00000001-7188-42CD-9557-5DF955B0D4CF}"/>
            </c:ext>
          </c:extLst>
        </c:ser>
        <c:dLbls>
          <c:showLegendKey val="0"/>
          <c:showVal val="0"/>
          <c:showCatName val="0"/>
          <c:showSerName val="0"/>
          <c:showPercent val="0"/>
          <c:showBubbleSize val="0"/>
        </c:dLbls>
        <c:marker val="1"/>
        <c:smooth val="0"/>
        <c:axId val="166797312"/>
        <c:axId val="166799232"/>
      </c:lineChart>
      <c:catAx>
        <c:axId val="1667973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799232"/>
        <c:crosses val="autoZero"/>
        <c:auto val="1"/>
        <c:lblAlgn val="ctr"/>
        <c:lblOffset val="100"/>
        <c:noMultiLvlLbl val="0"/>
      </c:catAx>
      <c:valAx>
        <c:axId val="16679923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79731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a:t>
            </a:r>
            <a:r>
              <a:rPr lang="en-US" baseline="0"/>
              <a:t>INNOVATION EBIT MARGIN vs TIME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v>EBIT Margin</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Sheet3!$E$93:$N$93</c:f>
              <c:numCache>
                <c:formatCode>0.0%</c:formatCode>
                <c:ptCount val="10"/>
                <c:pt idx="0">
                  <c:v>-0.27741935483870966</c:v>
                </c:pt>
                <c:pt idx="1">
                  <c:v>-0.1437125748502994</c:v>
                </c:pt>
                <c:pt idx="2">
                  <c:v>-0.17751479289940827</c:v>
                </c:pt>
                <c:pt idx="3">
                  <c:v>-8.1395348837209308E-2</c:v>
                </c:pt>
                <c:pt idx="4" formatCode="0%">
                  <c:v>-0.08</c:v>
                </c:pt>
                <c:pt idx="5" formatCode="0%">
                  <c:v>-0.03</c:v>
                </c:pt>
                <c:pt idx="6" formatCode="0%">
                  <c:v>-1.0000000000000009E-2</c:v>
                </c:pt>
                <c:pt idx="7" formatCode="0%">
                  <c:v>0</c:v>
                </c:pt>
                <c:pt idx="8" formatCode="0%">
                  <c:v>0.03</c:v>
                </c:pt>
                <c:pt idx="9" formatCode="0%">
                  <c:v>0.06</c:v>
                </c:pt>
              </c:numCache>
            </c:numRef>
          </c:val>
          <c:smooth val="0"/>
          <c:extLst>
            <c:ext xmlns:c16="http://schemas.microsoft.com/office/drawing/2014/chart" uri="{C3380CC4-5D6E-409C-BE32-E72D297353CC}">
              <c16:uniqueId val="{00000001-222C-4323-8326-AE5482BDFEA9}"/>
            </c:ext>
          </c:extLst>
        </c:ser>
        <c:dLbls>
          <c:showLegendKey val="0"/>
          <c:showVal val="0"/>
          <c:showCatName val="0"/>
          <c:showSerName val="0"/>
          <c:showPercent val="0"/>
          <c:showBubbleSize val="0"/>
        </c:dLbls>
        <c:marker val="1"/>
        <c:smooth val="0"/>
        <c:axId val="166820096"/>
        <c:axId val="166842752"/>
      </c:lineChart>
      <c:catAx>
        <c:axId val="166820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842752"/>
        <c:crosses val="autoZero"/>
        <c:auto val="1"/>
        <c:lblAlgn val="ctr"/>
        <c:lblOffset val="100"/>
        <c:noMultiLvlLbl val="0"/>
      </c:catAx>
      <c:valAx>
        <c:axId val="16684275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82009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CORPORATE</a:t>
            </a:r>
            <a:r>
              <a:rPr lang="en-US" baseline="0"/>
              <a:t> ACTIVITIES EBIT MARGIN vs TIME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strRef>
              <c:f>Sheet3!$C$119</c:f>
              <c:strCache>
                <c:ptCount val="1"/>
                <c:pt idx="0">
                  <c:v>Adj EBIT margin</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Sheet3!$E$119:$N$119</c:f>
              <c:numCache>
                <c:formatCode>0.0%</c:formatCode>
                <c:ptCount val="10"/>
                <c:pt idx="0">
                  <c:v>-3.2236842105263159</c:v>
                </c:pt>
                <c:pt idx="1">
                  <c:v>-2.9859154929577465</c:v>
                </c:pt>
                <c:pt idx="2">
                  <c:v>-3.4406779661016951</c:v>
                </c:pt>
                <c:pt idx="3">
                  <c:v>-4</c:v>
                </c:pt>
                <c:pt idx="4">
                  <c:v>-4</c:v>
                </c:pt>
                <c:pt idx="5">
                  <c:v>-4.2142857142857144</c:v>
                </c:pt>
                <c:pt idx="6">
                  <c:v>-4.375</c:v>
                </c:pt>
                <c:pt idx="7">
                  <c:v>-4.5526315789473681</c:v>
                </c:pt>
                <c:pt idx="8">
                  <c:v>-4.75</c:v>
                </c:pt>
                <c:pt idx="9">
                  <c:v>-4.8571428571428568</c:v>
                </c:pt>
              </c:numCache>
            </c:numRef>
          </c:val>
          <c:smooth val="0"/>
          <c:extLst>
            <c:ext xmlns:c16="http://schemas.microsoft.com/office/drawing/2014/chart" uri="{C3380CC4-5D6E-409C-BE32-E72D297353CC}">
              <c16:uniqueId val="{00000001-935F-4A58-A773-52677F4527FF}"/>
            </c:ext>
          </c:extLst>
        </c:ser>
        <c:dLbls>
          <c:showLegendKey val="0"/>
          <c:showVal val="0"/>
          <c:showCatName val="0"/>
          <c:showSerName val="0"/>
          <c:showPercent val="0"/>
          <c:showBubbleSize val="0"/>
        </c:dLbls>
        <c:marker val="1"/>
        <c:smooth val="0"/>
        <c:axId val="166957440"/>
        <c:axId val="166959360"/>
      </c:lineChart>
      <c:catAx>
        <c:axId val="166957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59360"/>
        <c:crosses val="autoZero"/>
        <c:auto val="1"/>
        <c:lblAlgn val="ctr"/>
        <c:lblOffset val="100"/>
        <c:noMultiLvlLbl val="0"/>
      </c:catAx>
      <c:valAx>
        <c:axId val="166959360"/>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5744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DSM ADJ</a:t>
            </a:r>
            <a:r>
              <a:rPr lang="en-US" baseline="0"/>
              <a:t> EBITDA MARGIN vs TIME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v>Adj EBIT Margin</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Sheet3!$E$158:$N$158</c:f>
              <c:numCache>
                <c:formatCode>0.0%</c:formatCode>
                <c:ptCount val="10"/>
                <c:pt idx="0">
                  <c:v>7.4203574203574207E-2</c:v>
                </c:pt>
                <c:pt idx="1">
                  <c:v>9.9873737373737378E-2</c:v>
                </c:pt>
                <c:pt idx="2">
                  <c:v>0.11086654309545876</c:v>
                </c:pt>
                <c:pt idx="3">
                  <c:v>0.11918210573881609</c:v>
                </c:pt>
                <c:pt idx="4">
                  <c:v>0.12922883129371851</c:v>
                </c:pt>
                <c:pt idx="5">
                  <c:v>0.13308109135917098</c:v>
                </c:pt>
                <c:pt idx="6">
                  <c:v>0.13653045756074611</c:v>
                </c:pt>
                <c:pt idx="7">
                  <c:v>0.13966108598847984</c:v>
                </c:pt>
                <c:pt idx="8">
                  <c:v>0.14340986596759109</c:v>
                </c:pt>
                <c:pt idx="9">
                  <c:v>0.14729341956217895</c:v>
                </c:pt>
              </c:numCache>
            </c:numRef>
          </c:val>
          <c:smooth val="0"/>
          <c:extLst>
            <c:ext xmlns:c16="http://schemas.microsoft.com/office/drawing/2014/chart" uri="{C3380CC4-5D6E-409C-BE32-E72D297353CC}">
              <c16:uniqueId val="{00000001-B02A-4FB5-9077-4251B8CC908E}"/>
            </c:ext>
          </c:extLst>
        </c:ser>
        <c:dLbls>
          <c:showLegendKey val="0"/>
          <c:showVal val="0"/>
          <c:showCatName val="0"/>
          <c:showSerName val="0"/>
          <c:showPercent val="0"/>
          <c:showBubbleSize val="0"/>
        </c:dLbls>
        <c:marker val="1"/>
        <c:smooth val="0"/>
        <c:axId val="166971648"/>
        <c:axId val="167059840"/>
      </c:lineChart>
      <c:catAx>
        <c:axId val="166971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059840"/>
        <c:crosses val="autoZero"/>
        <c:auto val="1"/>
        <c:lblAlgn val="ctr"/>
        <c:lblOffset val="100"/>
        <c:noMultiLvlLbl val="0"/>
      </c:catAx>
      <c:valAx>
        <c:axId val="167059840"/>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716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NUTRITION ORGANIC GROWTH</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v>Organic Growth</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Sheet3!$D$50:$N$50</c:f>
              <c:numCache>
                <c:formatCode>0%</c:formatCode>
                <c:ptCount val="11"/>
                <c:pt idx="0">
                  <c:v>0.01</c:v>
                </c:pt>
                <c:pt idx="1">
                  <c:v>0.06</c:v>
                </c:pt>
                <c:pt idx="2">
                  <c:v>0.05</c:v>
                </c:pt>
                <c:pt idx="3">
                  <c:v>0.08</c:v>
                </c:pt>
                <c:pt idx="4">
                  <c:v>7.0000000000000007E-2</c:v>
                </c:pt>
                <c:pt idx="5" formatCode="0.0%">
                  <c:v>5.2758567552175818E-2</c:v>
                </c:pt>
                <c:pt idx="6" formatCode="0.0%">
                  <c:v>5.3378589428285515E-2</c:v>
                </c:pt>
                <c:pt idx="7" formatCode="0.0%">
                  <c:v>5.3996591234861141E-2</c:v>
                </c:pt>
                <c:pt idx="8" formatCode="0.0%">
                  <c:v>5.4612172945070099E-2</c:v>
                </c:pt>
                <c:pt idx="9" formatCode="0.0%">
                  <c:v>5.5224947327772334E-2</c:v>
                </c:pt>
                <c:pt idx="10" formatCode="0.0%">
                  <c:v>5.5834541212888361E-2</c:v>
                </c:pt>
              </c:numCache>
            </c:numRef>
          </c:val>
          <c:smooth val="0"/>
          <c:extLst>
            <c:ext xmlns:c16="http://schemas.microsoft.com/office/drawing/2014/chart" uri="{C3380CC4-5D6E-409C-BE32-E72D297353CC}">
              <c16:uniqueId val="{00000001-A131-4F48-9843-F36FC565A940}"/>
            </c:ext>
          </c:extLst>
        </c:ser>
        <c:dLbls>
          <c:showLegendKey val="0"/>
          <c:showVal val="0"/>
          <c:showCatName val="0"/>
          <c:showSerName val="0"/>
          <c:showPercent val="0"/>
          <c:showBubbleSize val="0"/>
        </c:dLbls>
        <c:marker val="1"/>
        <c:smooth val="0"/>
        <c:axId val="167084416"/>
        <c:axId val="167086336"/>
      </c:lineChart>
      <c:catAx>
        <c:axId val="1670844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086336"/>
        <c:crosses val="autoZero"/>
        <c:auto val="1"/>
        <c:lblAlgn val="ctr"/>
        <c:lblOffset val="100"/>
        <c:noMultiLvlLbl val="0"/>
      </c:catAx>
      <c:valAx>
        <c:axId val="16708633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0844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MATERIAL ORGANIC GROWTH</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v>Organic Growth</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Sheet3!$D$65:$N$65</c:f>
              <c:numCache>
                <c:formatCode>0%</c:formatCode>
                <c:ptCount val="11"/>
                <c:pt idx="1">
                  <c:v>-0.04</c:v>
                </c:pt>
                <c:pt idx="2">
                  <c:v>-1.0000000000000002E-2</c:v>
                </c:pt>
                <c:pt idx="3">
                  <c:v>0.13</c:v>
                </c:pt>
                <c:pt idx="4">
                  <c:v>0.05</c:v>
                </c:pt>
                <c:pt idx="5">
                  <c:v>0.04</c:v>
                </c:pt>
                <c:pt idx="6">
                  <c:v>0.04</c:v>
                </c:pt>
                <c:pt idx="7">
                  <c:v>0.04</c:v>
                </c:pt>
                <c:pt idx="8">
                  <c:v>0.04</c:v>
                </c:pt>
                <c:pt idx="9">
                  <c:v>0.04</c:v>
                </c:pt>
                <c:pt idx="10">
                  <c:v>0.04</c:v>
                </c:pt>
              </c:numCache>
            </c:numRef>
          </c:val>
          <c:smooth val="0"/>
          <c:extLst>
            <c:ext xmlns:c16="http://schemas.microsoft.com/office/drawing/2014/chart" uri="{C3380CC4-5D6E-409C-BE32-E72D297353CC}">
              <c16:uniqueId val="{00000000-5CEF-433D-8FBF-881589999B6B}"/>
            </c:ext>
          </c:extLst>
        </c:ser>
        <c:dLbls>
          <c:showLegendKey val="0"/>
          <c:showVal val="0"/>
          <c:showCatName val="0"/>
          <c:showSerName val="0"/>
          <c:showPercent val="0"/>
          <c:showBubbleSize val="0"/>
        </c:dLbls>
        <c:marker val="1"/>
        <c:smooth val="0"/>
        <c:axId val="167122816"/>
        <c:axId val="167124992"/>
      </c:lineChart>
      <c:catAx>
        <c:axId val="167122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124992"/>
        <c:crosses val="autoZero"/>
        <c:auto val="1"/>
        <c:lblAlgn val="ctr"/>
        <c:lblOffset val="100"/>
        <c:noMultiLvlLbl val="0"/>
      </c:catAx>
      <c:valAx>
        <c:axId val="16712499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1228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INNOVATION ORGANIC GROWTH</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v>Organic Growth</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Sheet3!$D$80:$N$80</c:f>
              <c:numCache>
                <c:formatCode>0.0%</c:formatCode>
                <c:ptCount val="11"/>
                <c:pt idx="0" formatCode="0%">
                  <c:v>0</c:v>
                </c:pt>
                <c:pt idx="1">
                  <c:v>0</c:v>
                </c:pt>
                <c:pt idx="2">
                  <c:v>0.06</c:v>
                </c:pt>
                <c:pt idx="3">
                  <c:v>0.03</c:v>
                </c:pt>
                <c:pt idx="4">
                  <c:v>0.05</c:v>
                </c:pt>
                <c:pt idx="5" formatCode="0%">
                  <c:v>0.08</c:v>
                </c:pt>
                <c:pt idx="6" formatCode="0%">
                  <c:v>0.16</c:v>
                </c:pt>
                <c:pt idx="7" formatCode="0%">
                  <c:v>0.18</c:v>
                </c:pt>
                <c:pt idx="8" formatCode="0%">
                  <c:v>0.2</c:v>
                </c:pt>
                <c:pt idx="9" formatCode="0%">
                  <c:v>0.2</c:v>
                </c:pt>
                <c:pt idx="10" formatCode="0%">
                  <c:v>0.2</c:v>
                </c:pt>
              </c:numCache>
            </c:numRef>
          </c:val>
          <c:smooth val="0"/>
          <c:extLst>
            <c:ext xmlns:c16="http://schemas.microsoft.com/office/drawing/2014/chart" uri="{C3380CC4-5D6E-409C-BE32-E72D297353CC}">
              <c16:uniqueId val="{00000000-056F-473B-955B-7B500BC933F3}"/>
            </c:ext>
          </c:extLst>
        </c:ser>
        <c:dLbls>
          <c:showLegendKey val="0"/>
          <c:showVal val="0"/>
          <c:showCatName val="0"/>
          <c:showSerName val="0"/>
          <c:showPercent val="0"/>
          <c:showBubbleSize val="0"/>
        </c:dLbls>
        <c:marker val="1"/>
        <c:smooth val="0"/>
        <c:axId val="167140736"/>
        <c:axId val="167167488"/>
      </c:lineChart>
      <c:catAx>
        <c:axId val="1671407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167488"/>
        <c:crosses val="autoZero"/>
        <c:auto val="1"/>
        <c:lblAlgn val="ctr"/>
        <c:lblOffset val="100"/>
        <c:noMultiLvlLbl val="0"/>
      </c:catAx>
      <c:valAx>
        <c:axId val="16716748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14073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and EBIT margin growth</a:t>
            </a:r>
          </a:p>
        </c:rich>
      </c:tx>
      <c:layout>
        <c:manualLayout>
          <c:xMode val="edge"/>
          <c:yMode val="edge"/>
          <c:x val="3.8480596736585924E-4"/>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[3]Sheet2!$T$133</c:f>
              <c:strCache>
                <c:ptCount val="1"/>
                <c:pt idx="0">
                  <c:v>Organic</c:v>
                </c:pt>
              </c:strCache>
            </c:strRef>
          </c:tx>
          <c:spPr>
            <a:solidFill>
              <a:schemeClr val="accent1"/>
            </a:solidFill>
            <a:ln>
              <a:noFill/>
            </a:ln>
            <a:effectLst/>
          </c:spPr>
          <c:invertIfNegative val="0"/>
          <c:cat>
            <c:strRef>
              <c:f>[3]Sheet2!$U$132:$AC$132</c:f>
              <c:strCache>
                <c:ptCount val="9"/>
                <c:pt idx="0">
                  <c:v>FY15</c:v>
                </c:pt>
                <c:pt idx="1">
                  <c:v>FY16</c:v>
                </c:pt>
                <c:pt idx="2">
                  <c:v>FY17</c:v>
                </c:pt>
                <c:pt idx="3">
                  <c:v>FY18</c:v>
                </c:pt>
                <c:pt idx="4">
                  <c:v>FY19E</c:v>
                </c:pt>
                <c:pt idx="5">
                  <c:v>FY20E</c:v>
                </c:pt>
                <c:pt idx="6">
                  <c:v>FY21E</c:v>
                </c:pt>
                <c:pt idx="7">
                  <c:v>FY22E</c:v>
                </c:pt>
                <c:pt idx="8">
                  <c:v>FY23E</c:v>
                </c:pt>
              </c:strCache>
            </c:strRef>
          </c:cat>
          <c:val>
            <c:numRef>
              <c:f>[3]Sheet2!$U$133:$AC$133</c:f>
              <c:numCache>
                <c:formatCode>General</c:formatCode>
                <c:ptCount val="9"/>
                <c:pt idx="0">
                  <c:v>1.9999999999999997E-2</c:v>
                </c:pt>
                <c:pt idx="1">
                  <c:v>0.04</c:v>
                </c:pt>
                <c:pt idx="2">
                  <c:v>0.21000000000000002</c:v>
                </c:pt>
                <c:pt idx="3">
                  <c:v>0.12000000000000001</c:v>
                </c:pt>
                <c:pt idx="4">
                  <c:v>0.05</c:v>
                </c:pt>
                <c:pt idx="5">
                  <c:v>0.06</c:v>
                </c:pt>
                <c:pt idx="6">
                  <c:v>7.0000000000000007E-2</c:v>
                </c:pt>
                <c:pt idx="7">
                  <c:v>7.0000000000000007E-2</c:v>
                </c:pt>
                <c:pt idx="8">
                  <c:v>0.08</c:v>
                </c:pt>
              </c:numCache>
            </c:numRef>
          </c:val>
          <c:extLst>
            <c:ext xmlns:c16="http://schemas.microsoft.com/office/drawing/2014/chart" uri="{C3380CC4-5D6E-409C-BE32-E72D297353CC}">
              <c16:uniqueId val="{00000000-BDB1-472A-B3AE-CA22A2639467}"/>
            </c:ext>
          </c:extLst>
        </c:ser>
        <c:dLbls>
          <c:showLegendKey val="0"/>
          <c:showVal val="0"/>
          <c:showCatName val="0"/>
          <c:showSerName val="0"/>
          <c:showPercent val="0"/>
          <c:showBubbleSize val="0"/>
        </c:dLbls>
        <c:gapWidth val="219"/>
        <c:axId val="162758656"/>
        <c:axId val="162760192"/>
      </c:barChart>
      <c:lineChart>
        <c:grouping val="standard"/>
        <c:varyColors val="0"/>
        <c:ser>
          <c:idx val="1"/>
          <c:order val="1"/>
          <c:tx>
            <c:strRef>
              <c:f>[3]Sheet2!$T$134</c:f>
              <c:strCache>
                <c:ptCount val="1"/>
                <c:pt idx="0">
                  <c:v>Adj EBIT margin</c:v>
                </c:pt>
              </c:strCache>
            </c:strRef>
          </c:tx>
          <c:spPr>
            <a:ln w="28575" cap="rnd">
              <a:solidFill>
                <a:schemeClr val="accent2"/>
              </a:solidFill>
              <a:round/>
            </a:ln>
            <a:effectLst/>
          </c:spPr>
          <c:marker>
            <c:symbol val="none"/>
          </c:marker>
          <c:val>
            <c:numRef>
              <c:f>[3]Sheet2!$U$134:$AC$134</c:f>
              <c:numCache>
                <c:formatCode>General</c:formatCode>
                <c:ptCount val="9"/>
                <c:pt idx="0">
                  <c:v>7.4203574203574207E-2</c:v>
                </c:pt>
                <c:pt idx="1">
                  <c:v>9.9873737373737378E-2</c:v>
                </c:pt>
                <c:pt idx="2">
                  <c:v>0.11086654309545876</c:v>
                </c:pt>
                <c:pt idx="3">
                  <c:v>0.11918210573881609</c:v>
                </c:pt>
                <c:pt idx="4">
                  <c:v>0.13824394089107483</c:v>
                </c:pt>
                <c:pt idx="5">
                  <c:v>0.17038821466699988</c:v>
                </c:pt>
                <c:pt idx="6">
                  <c:v>0.16501312555088415</c:v>
                </c:pt>
                <c:pt idx="7">
                  <c:v>0.16610168995355243</c:v>
                </c:pt>
                <c:pt idx="8">
                  <c:v>0.16694352175280405</c:v>
                </c:pt>
              </c:numCache>
            </c:numRef>
          </c:val>
          <c:smooth val="0"/>
          <c:extLst>
            <c:ext xmlns:c16="http://schemas.microsoft.com/office/drawing/2014/chart" uri="{C3380CC4-5D6E-409C-BE32-E72D297353CC}">
              <c16:uniqueId val="{00000001-BDB1-472A-B3AE-CA22A2639467}"/>
            </c:ext>
          </c:extLst>
        </c:ser>
        <c:dLbls>
          <c:showLegendKey val="0"/>
          <c:showVal val="0"/>
          <c:showCatName val="0"/>
          <c:showSerName val="0"/>
          <c:showPercent val="0"/>
          <c:showBubbleSize val="0"/>
        </c:dLbls>
        <c:marker val="1"/>
        <c:smooth val="0"/>
        <c:axId val="162758656"/>
        <c:axId val="162760192"/>
      </c:lineChart>
      <c:catAx>
        <c:axId val="162758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760192"/>
        <c:crosses val="autoZero"/>
        <c:auto val="1"/>
        <c:lblAlgn val="ctr"/>
        <c:lblOffset val="100"/>
        <c:noMultiLvlLbl val="0"/>
      </c:catAx>
      <c:valAx>
        <c:axId val="1627601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75865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DSM ORGANIC GROWTH</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v>Organic Growth</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Sheet3!$E$131:$N$131</c:f>
              <c:numCache>
                <c:formatCode>0%</c:formatCode>
                <c:ptCount val="10"/>
                <c:pt idx="0">
                  <c:v>1.9999999999999997E-2</c:v>
                </c:pt>
                <c:pt idx="1">
                  <c:v>0.04</c:v>
                </c:pt>
                <c:pt idx="2">
                  <c:v>0.21000000000000002</c:v>
                </c:pt>
                <c:pt idx="3">
                  <c:v>0.12000000000000001</c:v>
                </c:pt>
                <c:pt idx="4">
                  <c:v>4.939871090697287E-2</c:v>
                </c:pt>
                <c:pt idx="5">
                  <c:v>5.1720235381187085E-2</c:v>
                </c:pt>
                <c:pt idx="6">
                  <c:v>5.2982251930943532E-2</c:v>
                </c:pt>
                <c:pt idx="7">
                  <c:v>5.4470299098727089E-2</c:v>
                </c:pt>
                <c:pt idx="8">
                  <c:v>5.5520769635181259E-2</c:v>
                </c:pt>
                <c:pt idx="9">
                  <c:v>5.6646131703825327E-2</c:v>
                </c:pt>
              </c:numCache>
            </c:numRef>
          </c:val>
          <c:smooth val="0"/>
          <c:extLst>
            <c:ext xmlns:c16="http://schemas.microsoft.com/office/drawing/2014/chart" uri="{C3380CC4-5D6E-409C-BE32-E72D297353CC}">
              <c16:uniqueId val="{00000000-6281-4AE3-B4CE-7522A5D6F383}"/>
            </c:ext>
          </c:extLst>
        </c:ser>
        <c:dLbls>
          <c:showLegendKey val="0"/>
          <c:showVal val="0"/>
          <c:showCatName val="0"/>
          <c:showSerName val="0"/>
          <c:showPercent val="0"/>
          <c:showBubbleSize val="0"/>
        </c:dLbls>
        <c:marker val="1"/>
        <c:smooth val="0"/>
        <c:axId val="167326848"/>
        <c:axId val="167328768"/>
      </c:lineChart>
      <c:catAx>
        <c:axId val="1673268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28768"/>
        <c:crosses val="autoZero"/>
        <c:auto val="1"/>
        <c:lblAlgn val="ctr"/>
        <c:lblOffset val="100"/>
        <c:noMultiLvlLbl val="0"/>
      </c:catAx>
      <c:valAx>
        <c:axId val="16732876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268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NUTRITION ORGANIC GROWTH</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v>Organic Growth</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Sheet3!$D$65:$N$65</c:f>
              <c:numCache>
                <c:formatCode>0%</c:formatCode>
                <c:ptCount val="11"/>
                <c:pt idx="1">
                  <c:v>-0.04</c:v>
                </c:pt>
                <c:pt idx="2">
                  <c:v>-1.0000000000000002E-2</c:v>
                </c:pt>
                <c:pt idx="3">
                  <c:v>0.13</c:v>
                </c:pt>
                <c:pt idx="4">
                  <c:v>0.05</c:v>
                </c:pt>
                <c:pt idx="5">
                  <c:v>0.04</c:v>
                </c:pt>
                <c:pt idx="6">
                  <c:v>0.04</c:v>
                </c:pt>
                <c:pt idx="7">
                  <c:v>0.04</c:v>
                </c:pt>
                <c:pt idx="8">
                  <c:v>0.04</c:v>
                </c:pt>
                <c:pt idx="9">
                  <c:v>0.04</c:v>
                </c:pt>
                <c:pt idx="10">
                  <c:v>0.04</c:v>
                </c:pt>
              </c:numCache>
            </c:numRef>
          </c:val>
          <c:smooth val="0"/>
          <c:extLst>
            <c:ext xmlns:c16="http://schemas.microsoft.com/office/drawing/2014/chart" uri="{C3380CC4-5D6E-409C-BE32-E72D297353CC}">
              <c16:uniqueId val="{00000000-3121-4DCA-9D9A-B84A4BA5028E}"/>
            </c:ext>
          </c:extLst>
        </c:ser>
        <c:dLbls>
          <c:showLegendKey val="0"/>
          <c:showVal val="0"/>
          <c:showCatName val="0"/>
          <c:showSerName val="0"/>
          <c:showPercent val="0"/>
          <c:showBubbleSize val="0"/>
        </c:dLbls>
        <c:marker val="1"/>
        <c:smooth val="0"/>
        <c:axId val="167344768"/>
        <c:axId val="167371520"/>
      </c:lineChart>
      <c:catAx>
        <c:axId val="167344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71520"/>
        <c:crosses val="autoZero"/>
        <c:auto val="1"/>
        <c:lblAlgn val="ctr"/>
        <c:lblOffset val="100"/>
        <c:noMultiLvlLbl val="0"/>
      </c:catAx>
      <c:valAx>
        <c:axId val="167371520"/>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447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Animal</a:t>
            </a:r>
            <a:r>
              <a:rPr lang="en-US" baseline="0"/>
              <a:t> nutrition - Revenue vs Time  </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Sheet3!$D$12:$N$12</c:f>
              <c:numCache>
                <c:formatCode>General</c:formatCode>
                <c:ptCount val="11"/>
                <c:pt idx="0">
                  <c:v>2084</c:v>
                </c:pt>
                <c:pt idx="1">
                  <c:v>2269</c:v>
                </c:pt>
                <c:pt idx="2" formatCode="0">
                  <c:v>2399</c:v>
                </c:pt>
                <c:pt idx="3" formatCode="0">
                  <c:v>2660</c:v>
                </c:pt>
                <c:pt idx="4" formatCode="0">
                  <c:v>2749</c:v>
                </c:pt>
                <c:pt idx="5">
                  <c:v>2941.4300000000003</c:v>
                </c:pt>
                <c:pt idx="6">
                  <c:v>3147.3301000000006</c:v>
                </c:pt>
                <c:pt idx="7">
                  <c:v>3367.643207000001</c:v>
                </c:pt>
                <c:pt idx="8">
                  <c:v>3603.3782314900013</c:v>
                </c:pt>
                <c:pt idx="9">
                  <c:v>3855.6147076943016</c:v>
                </c:pt>
                <c:pt idx="10">
                  <c:v>4125.5077372329033</c:v>
                </c:pt>
              </c:numCache>
            </c:numRef>
          </c:val>
          <c:extLst>
            <c:ext xmlns:c16="http://schemas.microsoft.com/office/drawing/2014/chart" uri="{C3380CC4-5D6E-409C-BE32-E72D297353CC}">
              <c16:uniqueId val="{00000000-5FC1-4B08-85E1-7657FFF15F01}"/>
            </c:ext>
          </c:extLst>
        </c:ser>
        <c:dLbls>
          <c:showLegendKey val="0"/>
          <c:showVal val="0"/>
          <c:showCatName val="0"/>
          <c:showSerName val="0"/>
          <c:showPercent val="0"/>
          <c:showBubbleSize val="0"/>
        </c:dLbls>
        <c:gapWidth val="219"/>
        <c:overlap val="-27"/>
        <c:axId val="161490816"/>
        <c:axId val="161505280"/>
      </c:barChart>
      <c:catAx>
        <c:axId val="1614908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Financial 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5280"/>
        <c:crosses val="autoZero"/>
        <c:auto val="1"/>
        <c:lblAlgn val="ctr"/>
        <c:lblOffset val="100"/>
        <c:noMultiLvlLbl val="0"/>
      </c:catAx>
      <c:valAx>
        <c:axId val="16150528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€000's</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908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baseline="0">
                <a:effectLst/>
              </a:rPr>
              <a:t>Human nutrition - Revenue vs Time  </a:t>
            </a:r>
            <a:endParaRPr lang="en-US" sz="1400">
              <a:effectLst/>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Sheet3!$D$20:$N$20</c:f>
              <c:numCache>
                <c:formatCode>General</c:formatCode>
                <c:ptCount val="11"/>
                <c:pt idx="0">
                  <c:v>1626</c:v>
                </c:pt>
                <c:pt idx="1">
                  <c:v>1742</c:v>
                </c:pt>
                <c:pt idx="2" formatCode="0">
                  <c:v>1822</c:v>
                </c:pt>
                <c:pt idx="3">
                  <c:v>1939</c:v>
                </c:pt>
                <c:pt idx="4">
                  <c:v>1989</c:v>
                </c:pt>
                <c:pt idx="5">
                  <c:v>2048.67</c:v>
                </c:pt>
                <c:pt idx="6">
                  <c:v>2110.1301000000003</c:v>
                </c:pt>
                <c:pt idx="7">
                  <c:v>2173.4340030000003</c:v>
                </c:pt>
                <c:pt idx="8">
                  <c:v>2238.6370230900002</c:v>
                </c:pt>
                <c:pt idx="9">
                  <c:v>2305.7961337827001</c:v>
                </c:pt>
                <c:pt idx="10">
                  <c:v>2374.9700177961813</c:v>
                </c:pt>
              </c:numCache>
            </c:numRef>
          </c:val>
          <c:extLst>
            <c:ext xmlns:c16="http://schemas.microsoft.com/office/drawing/2014/chart" uri="{C3380CC4-5D6E-409C-BE32-E72D297353CC}">
              <c16:uniqueId val="{00000000-6A0E-41CD-AC50-24C7B1F1F1A1}"/>
            </c:ext>
          </c:extLst>
        </c:ser>
        <c:dLbls>
          <c:showLegendKey val="0"/>
          <c:showVal val="0"/>
          <c:showCatName val="0"/>
          <c:showSerName val="0"/>
          <c:showPercent val="0"/>
          <c:showBubbleSize val="0"/>
        </c:dLbls>
        <c:gapWidth val="219"/>
        <c:overlap val="-27"/>
        <c:axId val="162689408"/>
        <c:axId val="162691328"/>
      </c:barChart>
      <c:catAx>
        <c:axId val="16268940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Financial 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691328"/>
        <c:crosses val="autoZero"/>
        <c:auto val="1"/>
        <c:lblAlgn val="ctr"/>
        <c:lblOffset val="100"/>
        <c:noMultiLvlLbl val="0"/>
      </c:catAx>
      <c:valAx>
        <c:axId val="1626913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baseline="0">
                    <a:effectLst/>
                  </a:rPr>
                  <a:t>€000's</a:t>
                </a:r>
                <a:endParaRPr lang="en-US" sz="1000">
                  <a:effectLst/>
                </a:endParaRP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68940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Food Specialties - Revenue vs Time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Sheet3!$D$28:$N$28</c:f>
              <c:numCache>
                <c:formatCode>General</c:formatCode>
                <c:ptCount val="11"/>
                <c:pt idx="0">
                  <c:v>473</c:v>
                </c:pt>
                <c:pt idx="1">
                  <c:v>546</c:v>
                </c:pt>
                <c:pt idx="2" formatCode="0">
                  <c:v>569</c:v>
                </c:pt>
                <c:pt idx="3" formatCode="0">
                  <c:v>541</c:v>
                </c:pt>
                <c:pt idx="4" formatCode="0">
                  <c:v>490</c:v>
                </c:pt>
                <c:pt idx="5">
                  <c:v>559.9</c:v>
                </c:pt>
                <c:pt idx="6">
                  <c:v>565.49900000000002</c:v>
                </c:pt>
                <c:pt idx="7">
                  <c:v>571.15399000000002</c:v>
                </c:pt>
                <c:pt idx="8">
                  <c:v>576.86552990000007</c:v>
                </c:pt>
                <c:pt idx="9">
                  <c:v>582.63418519900006</c:v>
                </c:pt>
                <c:pt idx="10">
                  <c:v>588.46052705099009</c:v>
                </c:pt>
              </c:numCache>
            </c:numRef>
          </c:val>
          <c:extLst>
            <c:ext xmlns:c16="http://schemas.microsoft.com/office/drawing/2014/chart" uri="{C3380CC4-5D6E-409C-BE32-E72D297353CC}">
              <c16:uniqueId val="{00000000-A3AE-4FFF-A3AC-1C904F217678}"/>
            </c:ext>
          </c:extLst>
        </c:ser>
        <c:dLbls>
          <c:showLegendKey val="0"/>
          <c:showVal val="0"/>
          <c:showCatName val="0"/>
          <c:showSerName val="0"/>
          <c:showPercent val="0"/>
          <c:showBubbleSize val="0"/>
        </c:dLbls>
        <c:gapWidth val="219"/>
        <c:overlap val="-27"/>
        <c:axId val="166464128"/>
        <c:axId val="166486784"/>
      </c:barChart>
      <c:catAx>
        <c:axId val="16646412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Financial 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486784"/>
        <c:crosses val="autoZero"/>
        <c:auto val="1"/>
        <c:lblAlgn val="ctr"/>
        <c:lblOffset val="100"/>
        <c:noMultiLvlLbl val="0"/>
      </c:catAx>
      <c:valAx>
        <c:axId val="1664867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baseline="0">
                    <a:effectLst/>
                  </a:rPr>
                  <a:t>€000's</a:t>
                </a:r>
                <a:endParaRPr lang="en-US" sz="1000">
                  <a:effectLst/>
                </a:endParaRP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4641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Personal</a:t>
            </a:r>
            <a:r>
              <a:rPr lang="en-US" baseline="0"/>
              <a:t> Care &amp; Aroma - Revenue vs Time </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Sheet3!$D$36:$N$36</c:f>
              <c:numCache>
                <c:formatCode>General</c:formatCode>
                <c:ptCount val="11"/>
                <c:pt idx="0">
                  <c:v>152</c:v>
                </c:pt>
                <c:pt idx="1">
                  <c:v>213</c:v>
                </c:pt>
                <c:pt idx="2" formatCode="0">
                  <c:v>362</c:v>
                </c:pt>
                <c:pt idx="3" formatCode="0">
                  <c:v>353</c:v>
                </c:pt>
                <c:pt idx="4" formatCode="0">
                  <c:v>382</c:v>
                </c:pt>
                <c:pt idx="5">
                  <c:v>420.20000000000005</c:v>
                </c:pt>
                <c:pt idx="6">
                  <c:v>462.22000000000008</c:v>
                </c:pt>
                <c:pt idx="7">
                  <c:v>508.44200000000012</c:v>
                </c:pt>
                <c:pt idx="8">
                  <c:v>559.28620000000012</c:v>
                </c:pt>
                <c:pt idx="9">
                  <c:v>615.21482000000015</c:v>
                </c:pt>
                <c:pt idx="10">
                  <c:v>676.73630200000025</c:v>
                </c:pt>
              </c:numCache>
            </c:numRef>
          </c:val>
          <c:extLst>
            <c:ext xmlns:c16="http://schemas.microsoft.com/office/drawing/2014/chart" uri="{C3380CC4-5D6E-409C-BE32-E72D297353CC}">
              <c16:uniqueId val="{00000000-CFF7-42F2-84DB-51CF4B646F0B}"/>
            </c:ext>
          </c:extLst>
        </c:ser>
        <c:dLbls>
          <c:showLegendKey val="0"/>
          <c:showVal val="0"/>
          <c:showCatName val="0"/>
          <c:showSerName val="0"/>
          <c:showPercent val="0"/>
          <c:showBubbleSize val="0"/>
        </c:dLbls>
        <c:gapWidth val="219"/>
        <c:overlap val="-27"/>
        <c:axId val="166524032"/>
        <c:axId val="166525952"/>
      </c:barChart>
      <c:catAx>
        <c:axId val="16652403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Financial 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525952"/>
        <c:crosses val="autoZero"/>
        <c:auto val="1"/>
        <c:lblAlgn val="ctr"/>
        <c:lblOffset val="100"/>
        <c:noMultiLvlLbl val="0"/>
      </c:catAx>
      <c:valAx>
        <c:axId val="16652595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baseline="0">
                    <a:effectLst/>
                  </a:rPr>
                  <a:t>€000's</a:t>
                </a:r>
                <a:endParaRPr lang="en-US" sz="1000">
                  <a:effectLst/>
                </a:endParaRP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52403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NUTRITION REVENUE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Sheet3!$D$47:$N$47</c:f>
              <c:numCache>
                <c:formatCode>#,##0_);[Red]\(#,##0\)</c:formatCode>
                <c:ptCount val="11"/>
                <c:pt idx="0" formatCode="General">
                  <c:v>4335</c:v>
                </c:pt>
                <c:pt idx="1">
                  <c:v>4963</c:v>
                </c:pt>
                <c:pt idx="2">
                  <c:v>5169</c:v>
                </c:pt>
                <c:pt idx="3">
                  <c:v>5579</c:v>
                </c:pt>
                <c:pt idx="4">
                  <c:v>5722</c:v>
                </c:pt>
                <c:pt idx="5">
                  <c:v>6088.8845235335502</c:v>
                </c:pt>
                <c:pt idx="6">
                  <c:v>6413.9005905914892</c:v>
                </c:pt>
                <c:pt idx="7">
                  <c:v>6760.2293590026929</c:v>
                </c:pt>
                <c:pt idx="8">
                  <c:v>7129.4201739048885</c:v>
                </c:pt>
                <c:pt idx="9">
                  <c:v>7523.142027486344</c:v>
                </c:pt>
                <c:pt idx="10">
                  <c:v>7943.1932110704438</c:v>
                </c:pt>
              </c:numCache>
            </c:numRef>
          </c:val>
          <c:extLst>
            <c:ext xmlns:c16="http://schemas.microsoft.com/office/drawing/2014/chart" uri="{C3380CC4-5D6E-409C-BE32-E72D297353CC}">
              <c16:uniqueId val="{00000000-AE6E-4FEC-B73C-735BFF71094E}"/>
            </c:ext>
          </c:extLst>
        </c:ser>
        <c:dLbls>
          <c:showLegendKey val="0"/>
          <c:showVal val="0"/>
          <c:showCatName val="0"/>
          <c:showSerName val="0"/>
          <c:showPercent val="0"/>
          <c:showBubbleSize val="0"/>
        </c:dLbls>
        <c:gapWidth val="219"/>
        <c:overlap val="-27"/>
        <c:axId val="166583680"/>
        <c:axId val="166585856"/>
      </c:barChart>
      <c:catAx>
        <c:axId val="16658368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Financial 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585856"/>
        <c:crosses val="autoZero"/>
        <c:auto val="1"/>
        <c:lblAlgn val="ctr"/>
        <c:lblOffset val="100"/>
        <c:noMultiLvlLbl val="0"/>
      </c:catAx>
      <c:valAx>
        <c:axId val="16658585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baseline="0">
                    <a:effectLst/>
                  </a:rPr>
                  <a:t>€000's</a:t>
                </a:r>
                <a:endParaRPr lang="en-US" sz="1000">
                  <a:effectLst/>
                </a:endParaRP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5836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MATERIAL REVENUE vs TIME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1"/>
          <c:spPr>
            <a:solidFill>
              <a:schemeClr val="accent2"/>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Sheet3!$D$62:$N$62</c:f>
              <c:numCache>
                <c:formatCode>#,##0_);[Red]\(#,##0\)</c:formatCode>
                <c:ptCount val="11"/>
                <c:pt idx="1">
                  <c:v>2528</c:v>
                </c:pt>
                <c:pt idx="2">
                  <c:v>2513</c:v>
                </c:pt>
                <c:pt idx="3">
                  <c:v>2825</c:v>
                </c:pt>
                <c:pt idx="4">
                  <c:v>2913</c:v>
                </c:pt>
                <c:pt idx="5">
                  <c:v>2779</c:v>
                </c:pt>
                <c:pt idx="6">
                  <c:v>2890.1600000000003</c:v>
                </c:pt>
                <c:pt idx="7">
                  <c:v>3005.7664000000004</c:v>
                </c:pt>
                <c:pt idx="8">
                  <c:v>3125.9970560000006</c:v>
                </c:pt>
                <c:pt idx="9">
                  <c:v>3251.0369382400008</c:v>
                </c:pt>
                <c:pt idx="10">
                  <c:v>3381.0784157696012</c:v>
                </c:pt>
              </c:numCache>
            </c:numRef>
          </c:val>
          <c:extLst>
            <c:ext xmlns:c16="http://schemas.microsoft.com/office/drawing/2014/chart" uri="{C3380CC4-5D6E-409C-BE32-E72D297353CC}">
              <c16:uniqueId val="{00000001-96A2-4C07-A123-4D166BD93685}"/>
            </c:ext>
          </c:extLst>
        </c:ser>
        <c:dLbls>
          <c:showLegendKey val="0"/>
          <c:showVal val="0"/>
          <c:showCatName val="0"/>
          <c:showSerName val="0"/>
          <c:showPercent val="0"/>
          <c:showBubbleSize val="0"/>
        </c:dLbls>
        <c:gapWidth val="219"/>
        <c:axId val="166598528"/>
        <c:axId val="166621184"/>
        <c:extLst>
          <c:ext xmlns:c15="http://schemas.microsoft.com/office/drawing/2012/chart" uri="{02D57815-91ED-43cb-92C2-25804820EDAC}">
            <c15:filteredBarSeries>
              <c15:ser>
                <c:idx val="0"/>
                <c:order val="0"/>
                <c:spPr>
                  <a:solidFill>
                    <a:schemeClr val="accent1"/>
                  </a:solidFill>
                  <a:ln>
                    <a:noFill/>
                  </a:ln>
                  <a:effectLst/>
                </c:spPr>
                <c:invertIfNegative val="0"/>
                <c:cat>
                  <c:strRef>
                    <c:extLst>
                      <c:ext uri="{02D57815-91ED-43cb-92C2-25804820EDAC}">
                        <c15:formulaRef>
                          <c15:sqref>Sheet3!$D$7:$N$7</c15:sqref>
                        </c15:formulaRef>
                      </c:ext>
                    </c:extLst>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extLst>
                      <c:ext uri="{02D57815-91ED-43cb-92C2-25804820EDAC}">
                        <c15:formulaRef>
                          <c15:sqref>Sheet3!$D$8:$N$8</c15:sqref>
                        </c15:formulaRef>
                      </c:ext>
                    </c:extLst>
                    <c:numCache>
                      <c:formatCode>General</c:formatCode>
                      <c:ptCount val="11"/>
                    </c:numCache>
                  </c:numRef>
                </c:val>
                <c:extLst>
                  <c:ext xmlns:c16="http://schemas.microsoft.com/office/drawing/2014/chart" uri="{C3380CC4-5D6E-409C-BE32-E72D297353CC}">
                    <c16:uniqueId val="{00000000-96A2-4C07-A123-4D166BD93685}"/>
                  </c:ext>
                </c:extLst>
              </c15:ser>
            </c15:filteredBarSeries>
          </c:ext>
        </c:extLst>
      </c:barChart>
      <c:catAx>
        <c:axId val="166598528"/>
        <c:scaling>
          <c:orientation val="minMax"/>
        </c:scaling>
        <c:delete val="0"/>
        <c:axPos val="b"/>
        <c:title>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621184"/>
        <c:crosses val="autoZero"/>
        <c:auto val="1"/>
        <c:lblAlgn val="ctr"/>
        <c:lblOffset val="100"/>
        <c:noMultiLvlLbl val="0"/>
      </c:catAx>
      <c:valAx>
        <c:axId val="1666211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baseline="0">
                    <a:effectLst/>
                  </a:rPr>
                  <a:t>€000's</a:t>
                </a:r>
                <a:endParaRPr lang="en-US" sz="1000">
                  <a:effectLst/>
                </a:endParaRP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5985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INNOVATION</a:t>
            </a:r>
            <a:r>
              <a:rPr lang="en-US" baseline="0"/>
              <a:t> REVENUE vs TIME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Sheet3!$D$8:$N$8</c:f>
              <c:numCache>
                <c:formatCode>General</c:formatCode>
                <c:ptCount val="11"/>
              </c:numCache>
            </c:numRef>
          </c:val>
          <c:extLst>
            <c:ext xmlns:c16="http://schemas.microsoft.com/office/drawing/2014/chart" uri="{C3380CC4-5D6E-409C-BE32-E72D297353CC}">
              <c16:uniqueId val="{00000000-1BD3-4232-B225-65199DBA8C04}"/>
            </c:ext>
          </c:extLst>
        </c:ser>
        <c:ser>
          <c:idx val="1"/>
          <c:order val="1"/>
          <c:spPr>
            <a:solidFill>
              <a:schemeClr val="accent2"/>
            </a:solidFill>
            <a:ln>
              <a:noFill/>
            </a:ln>
            <a:effectLst/>
          </c:spPr>
          <c:invertIfNegative val="0"/>
          <c:cat>
            <c:strRef>
              <c:f>Sheet3!$D$7:$N$7</c:f>
              <c:strCache>
                <c:ptCount val="11"/>
                <c:pt idx="0">
                  <c:v>FY 14</c:v>
                </c:pt>
                <c:pt idx="1">
                  <c:v>FY 15</c:v>
                </c:pt>
                <c:pt idx="2">
                  <c:v>FY 16</c:v>
                </c:pt>
                <c:pt idx="3">
                  <c:v>FY 17</c:v>
                </c:pt>
                <c:pt idx="4">
                  <c:v>FY 18</c:v>
                </c:pt>
                <c:pt idx="5">
                  <c:v>FY 19</c:v>
                </c:pt>
                <c:pt idx="6">
                  <c:v>FY 20</c:v>
                </c:pt>
                <c:pt idx="7">
                  <c:v>FY 21</c:v>
                </c:pt>
                <c:pt idx="8">
                  <c:v>FY 22</c:v>
                </c:pt>
                <c:pt idx="9">
                  <c:v>FY 23</c:v>
                </c:pt>
                <c:pt idx="10">
                  <c:v>FY 24</c:v>
                </c:pt>
              </c:strCache>
            </c:strRef>
          </c:cat>
          <c:val>
            <c:numRef>
              <c:f>Sheet3!$D$77:$N$77</c:f>
              <c:numCache>
                <c:formatCode>#,##0_);[Red]\(#,##0\)</c:formatCode>
                <c:ptCount val="11"/>
                <c:pt idx="0" formatCode="General">
                  <c:v>154</c:v>
                </c:pt>
                <c:pt idx="1">
                  <c:v>155</c:v>
                </c:pt>
                <c:pt idx="2">
                  <c:v>167</c:v>
                </c:pt>
                <c:pt idx="3">
                  <c:v>169</c:v>
                </c:pt>
                <c:pt idx="4">
                  <c:v>172</c:v>
                </c:pt>
                <c:pt idx="5" formatCode="General">
                  <c:v>185</c:v>
                </c:pt>
                <c:pt idx="6" formatCode="General">
                  <c:v>214.6</c:v>
                </c:pt>
                <c:pt idx="7" formatCode="General">
                  <c:v>253.22799999999998</c:v>
                </c:pt>
                <c:pt idx="8" formatCode="General">
                  <c:v>303.87359999999995</c:v>
                </c:pt>
                <c:pt idx="9" formatCode="General">
                  <c:v>364.64831999999996</c:v>
                </c:pt>
                <c:pt idx="10" formatCode="General">
                  <c:v>437.57798399999996</c:v>
                </c:pt>
              </c:numCache>
            </c:numRef>
          </c:val>
          <c:extLst>
            <c:ext xmlns:c16="http://schemas.microsoft.com/office/drawing/2014/chart" uri="{C3380CC4-5D6E-409C-BE32-E72D297353CC}">
              <c16:uniqueId val="{00000001-1BD3-4232-B225-65199DBA8C04}"/>
            </c:ext>
          </c:extLst>
        </c:ser>
        <c:dLbls>
          <c:showLegendKey val="0"/>
          <c:showVal val="0"/>
          <c:showCatName val="0"/>
          <c:showSerName val="0"/>
          <c:showPercent val="0"/>
          <c:showBubbleSize val="0"/>
        </c:dLbls>
        <c:gapWidth val="219"/>
        <c:overlap val="-27"/>
        <c:axId val="166659584"/>
        <c:axId val="166661120"/>
      </c:barChart>
      <c:catAx>
        <c:axId val="166659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661120"/>
        <c:crosses val="autoZero"/>
        <c:auto val="1"/>
        <c:lblAlgn val="ctr"/>
        <c:lblOffset val="100"/>
        <c:noMultiLvlLbl val="0"/>
      </c:catAx>
      <c:valAx>
        <c:axId val="1666611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65958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CheckBox" fmlaLink="DL_APPLICABLE_FOR_VALUATION_MODEL" lockText="1" noThreeD="1"/>
</file>

<file path=xl/ctrlProps/ctrlProp2.xml><?xml version="1.0" encoding="utf-8"?>
<formControlPr xmlns="http://schemas.microsoft.com/office/spreadsheetml/2009/9/main" objectType="CheckBox" checked="Checked" fmlaLink="DL_SUITABLE_DM" lockText="1" noThreeD="1"/>
</file>

<file path=xl/ctrlProps/ctrlProp3.xml><?xml version="1.0" encoding="utf-8"?>
<formControlPr xmlns="http://schemas.microsoft.com/office/spreadsheetml/2009/9/main" objectType="CheckBox" fmlaLink="DL_SUITABLE_ASIA" lockText="1" noThreeD="1"/>
</file>

<file path=xl/ctrlProps/ctrlProp4.xml><?xml version="1.0" encoding="utf-8"?>
<formControlPr xmlns="http://schemas.microsoft.com/office/spreadsheetml/2009/9/main" objectType="CheckBox" fmlaLink="DL_SUITABLE_EM" lockText="1" noThreeD="1"/>
</file>

<file path=xl/ctrlProps/ctrlProp5.xml><?xml version="1.0" encoding="utf-8"?>
<formControlPr xmlns="http://schemas.microsoft.com/office/spreadsheetml/2009/9/main" objectType="CheckBox" fmlaLink="DL_SUITABLE_CHINA" lockText="1" noThreeD="1"/>
</file>

<file path=xl/ctrlProps/ctrlProp6.xml><?xml version="1.0" encoding="utf-8"?>
<formControlPr xmlns="http://schemas.microsoft.com/office/spreadsheetml/2009/9/main" objectType="CheckBox" fmlaLink="DL_APPLICABLE_FOR_LIGHT_COVERAGE" lockText="1" noThreeD="1"/>
</file>

<file path=xl/ctrlProps/ctrlProp7.xml><?xml version="1.0" encoding="utf-8"?>
<formControlPr xmlns="http://schemas.microsoft.com/office/spreadsheetml/2009/9/main" objectType="CheckBox" fmlaLink="DL_PART_OF_ANALYST_PLAYBOOK" lockText="1" noThreeD="1"/>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4.png"/><Relationship Id="rId18" Type="http://schemas.openxmlformats.org/officeDocument/2006/relationships/image" Target="../media/image19.png"/><Relationship Id="rId26" Type="http://schemas.openxmlformats.org/officeDocument/2006/relationships/image" Target="../media/image27.png"/><Relationship Id="rId39" Type="http://schemas.openxmlformats.org/officeDocument/2006/relationships/image" Target="../media/image40.png"/><Relationship Id="rId21" Type="http://schemas.openxmlformats.org/officeDocument/2006/relationships/image" Target="../media/image22.png"/><Relationship Id="rId34" Type="http://schemas.openxmlformats.org/officeDocument/2006/relationships/image" Target="../media/image35.png"/><Relationship Id="rId42" Type="http://schemas.openxmlformats.org/officeDocument/2006/relationships/image" Target="../media/image43.png"/><Relationship Id="rId7" Type="http://schemas.openxmlformats.org/officeDocument/2006/relationships/image" Target="../media/image8.png"/><Relationship Id="rId2" Type="http://schemas.openxmlformats.org/officeDocument/2006/relationships/image" Target="../media/image3.png"/><Relationship Id="rId16" Type="http://schemas.openxmlformats.org/officeDocument/2006/relationships/image" Target="../media/image17.png"/><Relationship Id="rId29" Type="http://schemas.openxmlformats.org/officeDocument/2006/relationships/image" Target="../media/image30.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png"/><Relationship Id="rId32" Type="http://schemas.openxmlformats.org/officeDocument/2006/relationships/image" Target="../media/image33.png"/><Relationship Id="rId37" Type="http://schemas.openxmlformats.org/officeDocument/2006/relationships/image" Target="../media/image38.png"/><Relationship Id="rId40" Type="http://schemas.openxmlformats.org/officeDocument/2006/relationships/image" Target="../media/image41.png"/><Relationship Id="rId45" Type="http://schemas.openxmlformats.org/officeDocument/2006/relationships/image" Target="../media/image46.png"/><Relationship Id="rId5" Type="http://schemas.openxmlformats.org/officeDocument/2006/relationships/image" Target="../media/image6.png"/><Relationship Id="rId15" Type="http://schemas.openxmlformats.org/officeDocument/2006/relationships/image" Target="../media/image16.png"/><Relationship Id="rId23" Type="http://schemas.openxmlformats.org/officeDocument/2006/relationships/image" Target="../media/image24.png"/><Relationship Id="rId28" Type="http://schemas.openxmlformats.org/officeDocument/2006/relationships/image" Target="../media/image29.png"/><Relationship Id="rId36" Type="http://schemas.openxmlformats.org/officeDocument/2006/relationships/image" Target="../media/image37.png"/><Relationship Id="rId10" Type="http://schemas.openxmlformats.org/officeDocument/2006/relationships/image" Target="../media/image11.png"/><Relationship Id="rId19" Type="http://schemas.openxmlformats.org/officeDocument/2006/relationships/image" Target="../media/image20.png"/><Relationship Id="rId31" Type="http://schemas.openxmlformats.org/officeDocument/2006/relationships/image" Target="../media/image32.png"/><Relationship Id="rId44" Type="http://schemas.openxmlformats.org/officeDocument/2006/relationships/image" Target="../media/image45.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 Id="rId35" Type="http://schemas.openxmlformats.org/officeDocument/2006/relationships/image" Target="../media/image36.png"/><Relationship Id="rId43" Type="http://schemas.openxmlformats.org/officeDocument/2006/relationships/image" Target="../media/image44.png"/><Relationship Id="rId8" Type="http://schemas.openxmlformats.org/officeDocument/2006/relationships/image" Target="../media/image9.png"/><Relationship Id="rId3" Type="http://schemas.openxmlformats.org/officeDocument/2006/relationships/image" Target="../media/image4.png"/><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33" Type="http://schemas.openxmlformats.org/officeDocument/2006/relationships/image" Target="../media/image34.png"/><Relationship Id="rId38" Type="http://schemas.openxmlformats.org/officeDocument/2006/relationships/image" Target="../media/image39.png"/><Relationship Id="rId20" Type="http://schemas.openxmlformats.org/officeDocument/2006/relationships/image" Target="../media/image21.png"/><Relationship Id="rId41" Type="http://schemas.openxmlformats.org/officeDocument/2006/relationships/image" Target="../media/image42.png"/></Relationships>
</file>

<file path=xl/drawings/_rels/drawing5.xml.rels><?xml version="1.0" encoding="UTF-8" standalone="yes"?>
<Relationships xmlns="http://schemas.openxmlformats.org/package/2006/relationships"><Relationship Id="rId8" Type="http://schemas.openxmlformats.org/officeDocument/2006/relationships/chart" Target="../charts/chart9.xml"/><Relationship Id="rId13" Type="http://schemas.openxmlformats.org/officeDocument/2006/relationships/chart" Target="../charts/chart14.xml"/><Relationship Id="rId18" Type="http://schemas.openxmlformats.org/officeDocument/2006/relationships/chart" Target="../charts/chart19.xml"/><Relationship Id="rId3" Type="http://schemas.openxmlformats.org/officeDocument/2006/relationships/chart" Target="../charts/chart4.xml"/><Relationship Id="rId7" Type="http://schemas.openxmlformats.org/officeDocument/2006/relationships/chart" Target="../charts/chart8.xml"/><Relationship Id="rId12" Type="http://schemas.openxmlformats.org/officeDocument/2006/relationships/chart" Target="../charts/chart13.xml"/><Relationship Id="rId17" Type="http://schemas.openxmlformats.org/officeDocument/2006/relationships/chart" Target="../charts/chart18.xml"/><Relationship Id="rId2" Type="http://schemas.openxmlformats.org/officeDocument/2006/relationships/chart" Target="../charts/chart3.xml"/><Relationship Id="rId16" Type="http://schemas.openxmlformats.org/officeDocument/2006/relationships/chart" Target="../charts/chart17.xml"/><Relationship Id="rId20" Type="http://schemas.openxmlformats.org/officeDocument/2006/relationships/chart" Target="../charts/chart21.xml"/><Relationship Id="rId1" Type="http://schemas.openxmlformats.org/officeDocument/2006/relationships/chart" Target="../charts/chart2.xml"/><Relationship Id="rId6" Type="http://schemas.openxmlformats.org/officeDocument/2006/relationships/chart" Target="../charts/chart7.xml"/><Relationship Id="rId11" Type="http://schemas.openxmlformats.org/officeDocument/2006/relationships/chart" Target="../charts/chart12.xml"/><Relationship Id="rId5" Type="http://schemas.openxmlformats.org/officeDocument/2006/relationships/chart" Target="../charts/chart6.xml"/><Relationship Id="rId15" Type="http://schemas.openxmlformats.org/officeDocument/2006/relationships/chart" Target="../charts/chart16.xml"/><Relationship Id="rId10" Type="http://schemas.openxmlformats.org/officeDocument/2006/relationships/chart" Target="../charts/chart11.xml"/><Relationship Id="rId19" Type="http://schemas.openxmlformats.org/officeDocument/2006/relationships/chart" Target="../charts/chart20.xml"/><Relationship Id="rId4" Type="http://schemas.openxmlformats.org/officeDocument/2006/relationships/chart" Target="../charts/chart5.xml"/><Relationship Id="rId9" Type="http://schemas.openxmlformats.org/officeDocument/2006/relationships/chart" Target="../charts/chart10.xml"/><Relationship Id="rId14"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xdr:from>
      <xdr:col>1</xdr:col>
      <xdr:colOff>14653</xdr:colOff>
      <xdr:row>49</xdr:row>
      <xdr:rowOff>25434</xdr:rowOff>
    </xdr:from>
    <xdr:to>
      <xdr:col>11</xdr:col>
      <xdr:colOff>0</xdr:colOff>
      <xdr:row>63</xdr:row>
      <xdr:rowOff>144444</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mc:AlternateContent xmlns:mc="http://schemas.openxmlformats.org/markup-compatibility/2006">
    <mc:Choice xmlns:a14="http://schemas.microsoft.com/office/drawing/2010/main" Requires="a14">
      <xdr:twoCellAnchor>
        <xdr:from>
          <xdr:col>21</xdr:col>
          <xdr:colOff>9525</xdr:colOff>
          <xdr:row>0</xdr:row>
          <xdr:rowOff>142875</xdr:rowOff>
        </xdr:from>
        <xdr:to>
          <xdr:col>21</xdr:col>
          <xdr:colOff>219075</xdr:colOff>
          <xdr:row>3</xdr:row>
          <xdr:rowOff>9525</xdr:rowOff>
        </xdr:to>
        <xdr:sp macro="" textlink="">
          <xdr:nvSpPr>
            <xdr:cNvPr id="3073" name="APPLICABLE_FOR_VALUATION_MODEL" descr="Check" hidden="1">
              <a:extLst>
                <a:ext uri="{63B3BB69-23CF-44E3-9099-C40C66FF867C}">
                  <a14:compatExt spid="_x0000_s307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4B8C"/>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2</xdr:col>
          <xdr:colOff>47625</xdr:colOff>
          <xdr:row>67</xdr:row>
          <xdr:rowOff>9525</xdr:rowOff>
        </xdr:from>
        <xdr:to>
          <xdr:col>2</xdr:col>
          <xdr:colOff>266700</xdr:colOff>
          <xdr:row>68</xdr:row>
          <xdr:rowOff>95250</xdr:rowOff>
        </xdr:to>
        <xdr:sp macro="" textlink="">
          <xdr:nvSpPr>
            <xdr:cNvPr id="3074" name="SUITABLE_DM" descr="Check" hidden="1">
              <a:extLst>
                <a:ext uri="{63B3BB69-23CF-44E3-9099-C40C66FF867C}">
                  <a14:compatExt spid="_x0000_s307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4B8C"/>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2</xdr:col>
          <xdr:colOff>47625</xdr:colOff>
          <xdr:row>70</xdr:row>
          <xdr:rowOff>9525</xdr:rowOff>
        </xdr:from>
        <xdr:to>
          <xdr:col>2</xdr:col>
          <xdr:colOff>266700</xdr:colOff>
          <xdr:row>71</xdr:row>
          <xdr:rowOff>95250</xdr:rowOff>
        </xdr:to>
        <xdr:sp macro="" textlink="">
          <xdr:nvSpPr>
            <xdr:cNvPr id="3075" name="SUITABLE_ASIA" descr="Check" hidden="1">
              <a:extLst>
                <a:ext uri="{63B3BB69-23CF-44E3-9099-C40C66FF867C}">
                  <a14:compatExt spid="_x0000_s3075"/>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4B8C"/>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14</xdr:col>
          <xdr:colOff>66675</xdr:colOff>
          <xdr:row>67</xdr:row>
          <xdr:rowOff>9525</xdr:rowOff>
        </xdr:from>
        <xdr:to>
          <xdr:col>15</xdr:col>
          <xdr:colOff>28575</xdr:colOff>
          <xdr:row>68</xdr:row>
          <xdr:rowOff>95250</xdr:rowOff>
        </xdr:to>
        <xdr:sp macro="" textlink="">
          <xdr:nvSpPr>
            <xdr:cNvPr id="3076" name="SUITABLE_EM" descr="Check" hidden="1">
              <a:extLst>
                <a:ext uri="{63B3BB69-23CF-44E3-9099-C40C66FF867C}">
                  <a14:compatExt spid="_x0000_s3076"/>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4B8C"/>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xdr:from>
          <xdr:col>14</xdr:col>
          <xdr:colOff>66675</xdr:colOff>
          <xdr:row>70</xdr:row>
          <xdr:rowOff>9525</xdr:rowOff>
        </xdr:from>
        <xdr:to>
          <xdr:col>15</xdr:col>
          <xdr:colOff>28575</xdr:colOff>
          <xdr:row>71</xdr:row>
          <xdr:rowOff>104775</xdr:rowOff>
        </xdr:to>
        <xdr:sp macro="" textlink="">
          <xdr:nvSpPr>
            <xdr:cNvPr id="3077" name="SUITABLE_CHINA" descr="Check" hidden="1">
              <a:extLst>
                <a:ext uri="{63B3BB69-23CF-44E3-9099-C40C66FF867C}">
                  <a14:compatExt spid="_x0000_s307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4B8C"/>
                  </a:solidFill>
                  <a:miter lim="800000"/>
                  <a:headEnd/>
                  <a:tailEnd/>
                </a14:hiddenLine>
              </a:ext>
            </a:extLst>
          </xdr:spPr>
        </xdr:sp>
        <xdr:clientData fLocksWithSheet="0"/>
      </xdr:twoCellAnchor>
    </mc:Choice>
    <mc:Fallback/>
  </mc:AlternateContent>
  <xdr:twoCellAnchor>
    <xdr:from>
      <xdr:col>1</xdr:col>
      <xdr:colOff>8260</xdr:colOff>
      <xdr:row>45</xdr:row>
      <xdr:rowOff>20996</xdr:rowOff>
    </xdr:from>
    <xdr:to>
      <xdr:col>1</xdr:col>
      <xdr:colOff>80260</xdr:colOff>
      <xdr:row>45</xdr:row>
      <xdr:rowOff>92996</xdr:rowOff>
    </xdr:to>
    <xdr:sp macro="" textlink="">
      <xdr:nvSpPr>
        <xdr:cNvPr id="9" name="Rectangle 8"/>
        <xdr:cNvSpPr/>
      </xdr:nvSpPr>
      <xdr:spPr bwMode="auto">
        <a:xfrm>
          <a:off x="84460" y="5974121"/>
          <a:ext cx="72000" cy="72000"/>
        </a:xfrm>
        <a:prstGeom prst="rect">
          <a:avLst/>
        </a:prstGeom>
        <a:solidFill>
          <a:srgbClr val="002856"/>
        </a:solidFill>
        <a:ln w="9525" cap="flat" cmpd="sng" algn="ctr">
          <a:noFill/>
          <a:prstDash val="solid"/>
          <a:round/>
          <a:headEnd type="none" w="med" len="med"/>
          <a:tailEnd type="none" w="med" len="med"/>
        </a:ln>
        <a:effectLst/>
        <a:extLst/>
      </xdr:spPr>
      <xdr:txBody>
        <a:bodyPr vertOverflow="clip" horzOverflow="clip" vert="horz" wrap="square" lIns="91440" tIns="45720" rIns="91440" bIns="45720" numCol="1" rtlCol="0" anchor="t" anchorCtr="0" compatLnSpc="1">
          <a:prstTxWarp prst="textNoShape">
            <a:avLst/>
          </a:prstTxWarp>
        </a:bodyPr>
        <a:lstStyle/>
        <a:p>
          <a:pPr marL="0" marR="0" indent="0" algn="l" defTabSz="914400" rtl="0" eaLnBrk="0" fontAlgn="base" latinLnBrk="0" hangingPunct="0">
            <a:lnSpc>
              <a:spcPct val="100000"/>
            </a:lnSpc>
            <a:spcBef>
              <a:spcPct val="0"/>
            </a:spcBef>
            <a:spcAft>
              <a:spcPct val="0"/>
            </a:spcAft>
            <a:buClrTx/>
            <a:buSzTx/>
            <a:buFontTx/>
            <a:buNone/>
            <a:tabLst/>
          </a:pPr>
          <a:endParaRPr kumimoji="0" lang="en-GB" sz="2400" b="0" i="0" u="none" strike="noStrike" cap="none" normalizeH="0" baseline="-25000" smtClean="0">
            <a:ln>
              <a:noFill/>
            </a:ln>
            <a:solidFill>
              <a:schemeClr val="tx1"/>
            </a:solidFill>
            <a:effectLst/>
            <a:latin typeface="Arial" charset="0"/>
            <a:ea typeface="ヒラギノ角ゴ Pro W3" pitchFamily="-57" charset="-128"/>
          </a:endParaRPr>
        </a:p>
      </xdr:txBody>
    </xdr:sp>
    <xdr:clientData/>
  </xdr:twoCellAnchor>
  <xdr:twoCellAnchor>
    <xdr:from>
      <xdr:col>1</xdr:col>
      <xdr:colOff>8260</xdr:colOff>
      <xdr:row>46</xdr:row>
      <xdr:rowOff>20656</xdr:rowOff>
    </xdr:from>
    <xdr:to>
      <xdr:col>1</xdr:col>
      <xdr:colOff>80260</xdr:colOff>
      <xdr:row>46</xdr:row>
      <xdr:rowOff>92656</xdr:rowOff>
    </xdr:to>
    <xdr:sp macro="" textlink="">
      <xdr:nvSpPr>
        <xdr:cNvPr id="10" name="Rectangle 9"/>
        <xdr:cNvSpPr/>
      </xdr:nvSpPr>
      <xdr:spPr bwMode="auto">
        <a:xfrm>
          <a:off x="84460" y="6107131"/>
          <a:ext cx="72000" cy="72000"/>
        </a:xfrm>
        <a:prstGeom prst="rect">
          <a:avLst/>
        </a:prstGeom>
        <a:solidFill>
          <a:srgbClr val="768693"/>
        </a:solidFill>
        <a:ln w="9525" cap="flat" cmpd="sng" algn="ctr">
          <a:noFill/>
          <a:prstDash val="solid"/>
          <a:round/>
          <a:headEnd type="none" w="med" len="med"/>
          <a:tailEnd type="none" w="med" len="med"/>
        </a:ln>
        <a:effectLst/>
        <a:extLst/>
      </xdr:spPr>
      <xdr:txBody>
        <a:bodyPr vertOverflow="clip" horzOverflow="clip" vert="horz" wrap="square" lIns="91440" tIns="45720" rIns="91440" bIns="45720" numCol="1" rtlCol="0" anchor="t" anchorCtr="0" compatLnSpc="1">
          <a:prstTxWarp prst="textNoShape">
            <a:avLst/>
          </a:prstTxWarp>
        </a:bodyPr>
        <a:lstStyle/>
        <a:p>
          <a:pPr marL="0" marR="0" indent="0" algn="l" defTabSz="914400" rtl="0" eaLnBrk="0" fontAlgn="base" latinLnBrk="0" hangingPunct="0">
            <a:lnSpc>
              <a:spcPct val="100000"/>
            </a:lnSpc>
            <a:spcBef>
              <a:spcPct val="0"/>
            </a:spcBef>
            <a:spcAft>
              <a:spcPct val="0"/>
            </a:spcAft>
            <a:buClrTx/>
            <a:buSzTx/>
            <a:buFontTx/>
            <a:buNone/>
            <a:tabLst/>
          </a:pPr>
          <a:endParaRPr kumimoji="0" lang="en-GB" sz="2400" b="0" i="0" u="none" strike="noStrike" cap="none" normalizeH="0" baseline="-25000" smtClean="0">
            <a:ln>
              <a:noFill/>
            </a:ln>
            <a:solidFill>
              <a:schemeClr val="tx1"/>
            </a:solidFill>
            <a:effectLst/>
            <a:latin typeface="Arial" charset="0"/>
            <a:ea typeface="ヒラギノ角ゴ Pro W3" pitchFamily="-57" charset="-128"/>
          </a:endParaRPr>
        </a:p>
      </xdr:txBody>
    </xdr:sp>
    <xdr:clientData/>
  </xdr:twoCellAnchor>
  <xdr:twoCellAnchor>
    <xdr:from>
      <xdr:col>1</xdr:col>
      <xdr:colOff>8260</xdr:colOff>
      <xdr:row>47</xdr:row>
      <xdr:rowOff>20316</xdr:rowOff>
    </xdr:from>
    <xdr:to>
      <xdr:col>1</xdr:col>
      <xdr:colOff>80260</xdr:colOff>
      <xdr:row>47</xdr:row>
      <xdr:rowOff>90955</xdr:rowOff>
    </xdr:to>
    <xdr:sp macro="" textlink="">
      <xdr:nvSpPr>
        <xdr:cNvPr id="11" name="Rectangle 10"/>
        <xdr:cNvSpPr/>
      </xdr:nvSpPr>
      <xdr:spPr bwMode="auto">
        <a:xfrm>
          <a:off x="84460" y="6240141"/>
          <a:ext cx="72000" cy="70639"/>
        </a:xfrm>
        <a:prstGeom prst="rect">
          <a:avLst/>
        </a:prstGeom>
        <a:solidFill>
          <a:srgbClr val="00953A"/>
        </a:solidFill>
        <a:ln w="9525" cap="flat" cmpd="sng" algn="ctr">
          <a:noFill/>
          <a:prstDash val="solid"/>
          <a:round/>
          <a:headEnd type="none" w="med" len="med"/>
          <a:tailEnd type="none" w="med" len="med"/>
        </a:ln>
        <a:effectLst/>
        <a:extLst/>
      </xdr:spPr>
      <xdr:txBody>
        <a:bodyPr vertOverflow="clip" horzOverflow="clip" vert="horz" wrap="square" lIns="91440" tIns="45720" rIns="91440" bIns="45720" numCol="1" rtlCol="0" anchor="t" anchorCtr="0" compatLnSpc="1">
          <a:prstTxWarp prst="textNoShape">
            <a:avLst/>
          </a:prstTxWarp>
        </a:bodyPr>
        <a:lstStyle/>
        <a:p>
          <a:pPr marL="0" marR="0" indent="0" algn="l" defTabSz="914400" rtl="0" eaLnBrk="0" fontAlgn="base" latinLnBrk="0" hangingPunct="0">
            <a:lnSpc>
              <a:spcPct val="100000"/>
            </a:lnSpc>
            <a:spcBef>
              <a:spcPct val="0"/>
            </a:spcBef>
            <a:spcAft>
              <a:spcPct val="0"/>
            </a:spcAft>
            <a:buClrTx/>
            <a:buSzTx/>
            <a:buFontTx/>
            <a:buNone/>
            <a:tabLst/>
          </a:pPr>
          <a:endParaRPr kumimoji="0" lang="en-GB" sz="2400" b="0" i="0" u="none" strike="noStrike" cap="none" normalizeH="0" baseline="-25000" smtClean="0">
            <a:ln>
              <a:noFill/>
            </a:ln>
            <a:solidFill>
              <a:schemeClr val="tx1"/>
            </a:solidFill>
            <a:effectLst/>
            <a:latin typeface="Arial" charset="0"/>
            <a:ea typeface="ヒラギノ角ゴ Pro W3" pitchFamily="-57" charset="-128"/>
          </a:endParaRPr>
        </a:p>
      </xdr:txBody>
    </xdr:sp>
    <xdr:clientData/>
  </xdr:twoCellAnchor>
  <mc:AlternateContent xmlns:mc="http://schemas.openxmlformats.org/markup-compatibility/2006">
    <mc:Choice xmlns:a14="http://schemas.microsoft.com/office/drawing/2010/main" Requires="a14">
      <xdr:twoCellAnchor>
        <xdr:from>
          <xdr:col>21</xdr:col>
          <xdr:colOff>9525</xdr:colOff>
          <xdr:row>3</xdr:row>
          <xdr:rowOff>104775</xdr:rowOff>
        </xdr:from>
        <xdr:to>
          <xdr:col>21</xdr:col>
          <xdr:colOff>228600</xdr:colOff>
          <xdr:row>5</xdr:row>
          <xdr:rowOff>9525</xdr:rowOff>
        </xdr:to>
        <xdr:sp macro="" textlink="">
          <xdr:nvSpPr>
            <xdr:cNvPr id="3082" name="APPLICABLE_FOR_LIGHT_COVERAGE" descr="Check" hidden="1">
              <a:extLst>
                <a:ext uri="{63B3BB69-23CF-44E3-9099-C40C66FF867C}">
                  <a14:compatExt spid="_x0000_s308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4B8C"/>
                  </a:solidFill>
                  <a:miter lim="800000"/>
                  <a:headEnd/>
                  <a:tailEnd/>
                </a14:hiddenLine>
              </a:ext>
            </a:extLst>
          </xdr:spPr>
        </xdr:sp>
        <xdr:clientData fLocksWithSheet="0"/>
      </xdr:twoCellAnchor>
    </mc:Choice>
    <mc:Fallback/>
  </mc:AlternateContent>
  <xdr:oneCellAnchor>
    <xdr:from>
      <xdr:col>7</xdr:col>
      <xdr:colOff>7326</xdr:colOff>
      <xdr:row>3</xdr:row>
      <xdr:rowOff>23812</xdr:rowOff>
    </xdr:from>
    <xdr:ext cx="2294549" cy="682012"/>
    <xdr:sp macro="" textlink="">
      <xdr:nvSpPr>
        <xdr:cNvPr id="14" name="Rectangle 13"/>
        <xdr:cNvSpPr/>
      </xdr:nvSpPr>
      <xdr:spPr>
        <a:xfrm>
          <a:off x="2325076" y="333375"/>
          <a:ext cx="2294549" cy="682012"/>
        </a:xfrm>
        <a:prstGeom prst="rect">
          <a:avLst/>
        </a:prstGeom>
        <a:noFill/>
      </xdr:spPr>
      <xdr:txBody>
        <a:bodyPr wrap="square" lIns="91440" tIns="45720" rIns="91440" bIns="45720">
          <a:noAutofit/>
        </a:bodyPr>
        <a:lstStyle/>
        <a:p>
          <a:pPr algn="r"/>
          <a:r>
            <a:rPr lang="en-US" sz="2000" b="0" cap="none" spc="0">
              <a:ln w="18415" cmpd="sng">
                <a:solidFill>
                  <a:srgbClr val="FFFFFF"/>
                </a:solidFill>
                <a:prstDash val="solid"/>
              </a:ln>
              <a:solidFill>
                <a:srgbClr val="FFFFFF"/>
              </a:solidFill>
              <a:effectLst>
                <a:outerShdw blurRad="63500" dir="3600000" algn="tl" rotWithShape="0">
                  <a:srgbClr val="000000">
                    <a:alpha val="70000"/>
                  </a:srgbClr>
                </a:outerShdw>
              </a:effectLst>
            </a:rPr>
            <a:t>Synapse Input</a:t>
          </a:r>
          <a:r>
            <a:rPr lang="en-US" sz="2000" b="0" cap="none" spc="0" baseline="0">
              <a:ln w="18415" cmpd="sng">
                <a:solidFill>
                  <a:srgbClr val="FFFFFF"/>
                </a:solidFill>
                <a:prstDash val="solid"/>
              </a:ln>
              <a:solidFill>
                <a:srgbClr val="FFFFFF"/>
              </a:solidFill>
              <a:effectLst>
                <a:outerShdw blurRad="63500" dir="3600000" algn="tl" rotWithShape="0">
                  <a:srgbClr val="000000">
                    <a:alpha val="70000"/>
                  </a:srgbClr>
                </a:outerShdw>
              </a:effectLst>
            </a:rPr>
            <a:t> Template</a:t>
          </a:r>
          <a:endParaRPr lang="en-US" sz="2000" b="0" cap="none" spc="0">
            <a:ln w="18415" cmpd="sng">
              <a:solidFill>
                <a:srgbClr val="FFFFFF"/>
              </a:solidFill>
              <a:prstDash val="solid"/>
            </a:ln>
            <a:solidFill>
              <a:srgbClr val="FFFFFF"/>
            </a:solidFill>
            <a:effectLst>
              <a:outerShdw blurRad="63500" dir="3600000" algn="tl" rotWithShape="0">
                <a:srgbClr val="000000">
                  <a:alpha val="70000"/>
                </a:srgbClr>
              </a:outerShdw>
            </a:effectLst>
          </a:endParaRPr>
        </a:p>
      </xdr:txBody>
    </xdr:sp>
    <xdr:clientData/>
  </xdr:oneCellAnchor>
  <mc:AlternateContent xmlns:mc="http://schemas.openxmlformats.org/markup-compatibility/2006">
    <mc:Choice xmlns:a14="http://schemas.microsoft.com/office/drawing/2010/main" Requires="a14">
      <xdr:twoCellAnchor>
        <xdr:from>
          <xdr:col>21</xdr:col>
          <xdr:colOff>9525</xdr:colOff>
          <xdr:row>1</xdr:row>
          <xdr:rowOff>123825</xdr:rowOff>
        </xdr:from>
        <xdr:to>
          <xdr:col>21</xdr:col>
          <xdr:colOff>219075</xdr:colOff>
          <xdr:row>4</xdr:row>
          <xdr:rowOff>19050</xdr:rowOff>
        </xdr:to>
        <xdr:sp macro="" textlink="">
          <xdr:nvSpPr>
            <xdr:cNvPr id="3084" name="PART_OF_ANALYST_PLAYBOOK" descr="Check" hidden="1">
              <a:extLst>
                <a:ext uri="{63B3BB69-23CF-44E3-9099-C40C66FF867C}">
                  <a14:compatExt spid="_x0000_s308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4B8C"/>
                  </a:solidFill>
                  <a:miter lim="800000"/>
                  <a:headEnd/>
                  <a:tailEnd/>
                </a14:hiddenLine>
              </a:ext>
            </a:extLst>
          </xdr:spPr>
        </xdr:sp>
        <xdr:clientData fLocksWithSheet="0"/>
      </xdr:twoCellAnchor>
    </mc:Choice>
    <mc:Fallback/>
  </mc:AlternateContent>
  <xdr:twoCellAnchor editAs="oneCell">
    <xdr:from>
      <xdr:col>1</xdr:col>
      <xdr:colOff>19050</xdr:colOff>
      <xdr:row>0</xdr:row>
      <xdr:rowOff>95250</xdr:rowOff>
    </xdr:from>
    <xdr:to>
      <xdr:col>4</xdr:col>
      <xdr:colOff>56771</xdr:colOff>
      <xdr:row>3</xdr:row>
      <xdr:rowOff>85726</xdr:rowOff>
    </xdr:to>
    <xdr:pic>
      <xdr:nvPicPr>
        <xdr:cNvPr id="2" name="Picture 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5250" y="95250"/>
          <a:ext cx="1152146" cy="30480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15</xdr:col>
      <xdr:colOff>293077</xdr:colOff>
      <xdr:row>6</xdr:row>
      <xdr:rowOff>87923</xdr:rowOff>
    </xdr:from>
    <xdr:ext cx="3399691" cy="395654"/>
    <xdr:sp macro="" textlink="">
      <xdr:nvSpPr>
        <xdr:cNvPr id="3" name="Rectangle 2"/>
        <xdr:cNvSpPr/>
      </xdr:nvSpPr>
      <xdr:spPr>
        <a:xfrm>
          <a:off x="4388827" y="1011115"/>
          <a:ext cx="3399691" cy="395654"/>
        </a:xfrm>
        <a:prstGeom prst="rect">
          <a:avLst/>
        </a:prstGeom>
        <a:noFill/>
      </xdr:spPr>
      <xdr:txBody>
        <a:bodyPr wrap="square" lIns="91440" tIns="45720" rIns="91440" bIns="45720" anchor="ctr">
          <a:noAutofit/>
        </a:bodyPr>
        <a:lstStyle/>
        <a:p>
          <a:pPr algn="r"/>
          <a:r>
            <a:rPr lang="en-US" sz="2000" b="0" cap="none" spc="0">
              <a:ln w="18415" cmpd="sng">
                <a:solidFill>
                  <a:srgbClr val="FFFFFF"/>
                </a:solidFill>
                <a:prstDash val="solid"/>
              </a:ln>
              <a:solidFill>
                <a:srgbClr val="FFFFFF"/>
              </a:solidFill>
              <a:effectLst>
                <a:outerShdw blurRad="63500" dir="3600000" algn="tl" rotWithShape="0">
                  <a:srgbClr val="000000">
                    <a:alpha val="70000"/>
                  </a:srgbClr>
                </a:outerShdw>
              </a:effectLst>
            </a:rPr>
            <a:t>Synapse Input</a:t>
          </a:r>
          <a:r>
            <a:rPr lang="en-US" sz="2000" b="0" cap="none" spc="0" baseline="0">
              <a:ln w="18415" cmpd="sng">
                <a:solidFill>
                  <a:srgbClr val="FFFFFF"/>
                </a:solidFill>
                <a:prstDash val="solid"/>
              </a:ln>
              <a:solidFill>
                <a:srgbClr val="FFFFFF"/>
              </a:solidFill>
              <a:effectLst>
                <a:outerShdw blurRad="63500" dir="3600000" algn="tl" rotWithShape="0">
                  <a:srgbClr val="000000">
                    <a:alpha val="70000"/>
                  </a:srgbClr>
                </a:outerShdw>
              </a:effectLst>
            </a:rPr>
            <a:t> Template</a:t>
          </a:r>
          <a:endParaRPr lang="en-US" sz="2000" b="0" cap="none" spc="0">
            <a:ln w="18415" cmpd="sng">
              <a:solidFill>
                <a:srgbClr val="FFFFFF"/>
              </a:solidFill>
              <a:prstDash val="solid"/>
            </a:ln>
            <a:solidFill>
              <a:srgbClr val="FFFFFF"/>
            </a:solidFill>
            <a:effectLst>
              <a:outerShdw blurRad="63500" dir="3600000" algn="tl" rotWithShape="0">
                <a:srgbClr val="000000">
                  <a:alpha val="70000"/>
                </a:srgbClr>
              </a:outerShdw>
            </a:effectLst>
          </a:endParaRPr>
        </a:p>
      </xdr:txBody>
    </xdr:sp>
    <xdr:clientData/>
  </xdr:oneCellAnchor>
  <xdr:twoCellAnchor editAs="oneCell">
    <xdr:from>
      <xdr:col>1</xdr:col>
      <xdr:colOff>19050</xdr:colOff>
      <xdr:row>0</xdr:row>
      <xdr:rowOff>95250</xdr:rowOff>
    </xdr:from>
    <xdr:to>
      <xdr:col>5</xdr:col>
      <xdr:colOff>18671</xdr:colOff>
      <xdr:row>2</xdr:row>
      <xdr:rowOff>95251</xdr:rowOff>
    </xdr:to>
    <xdr:pic>
      <xdr:nvPicPr>
        <xdr:cNvPr id="2" name="Picture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5250" y="95250"/>
          <a:ext cx="1152146" cy="30480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8</xdr:col>
      <xdr:colOff>937846</xdr:colOff>
      <xdr:row>4</xdr:row>
      <xdr:rowOff>131884</xdr:rowOff>
    </xdr:from>
    <xdr:ext cx="3443654" cy="439615"/>
    <xdr:sp macro="" textlink="">
      <xdr:nvSpPr>
        <xdr:cNvPr id="4" name="Rectangle 3"/>
        <xdr:cNvSpPr/>
      </xdr:nvSpPr>
      <xdr:spPr>
        <a:xfrm>
          <a:off x="4352192" y="747346"/>
          <a:ext cx="3443654" cy="439615"/>
        </a:xfrm>
        <a:prstGeom prst="rect">
          <a:avLst/>
        </a:prstGeom>
        <a:noFill/>
      </xdr:spPr>
      <xdr:txBody>
        <a:bodyPr wrap="square" lIns="91440" tIns="45720" rIns="91440" bIns="45720" anchor="ctr">
          <a:noAutofit/>
        </a:bodyPr>
        <a:lstStyle/>
        <a:p>
          <a:pPr algn="r"/>
          <a:r>
            <a:rPr lang="en-US" sz="2000" b="0" cap="none" spc="0">
              <a:ln w="18415" cmpd="sng">
                <a:solidFill>
                  <a:srgbClr val="FFFFFF"/>
                </a:solidFill>
                <a:prstDash val="solid"/>
              </a:ln>
              <a:solidFill>
                <a:srgbClr val="FFFFFF"/>
              </a:solidFill>
              <a:effectLst>
                <a:outerShdw blurRad="63500" dir="3600000" algn="tl" rotWithShape="0">
                  <a:srgbClr val="000000">
                    <a:alpha val="70000"/>
                  </a:srgbClr>
                </a:outerShdw>
              </a:effectLst>
            </a:rPr>
            <a:t>Synapse Input</a:t>
          </a:r>
          <a:r>
            <a:rPr lang="en-US" sz="2000" b="0" cap="none" spc="0" baseline="0">
              <a:ln w="18415" cmpd="sng">
                <a:solidFill>
                  <a:srgbClr val="FFFFFF"/>
                </a:solidFill>
                <a:prstDash val="solid"/>
              </a:ln>
              <a:solidFill>
                <a:srgbClr val="FFFFFF"/>
              </a:solidFill>
              <a:effectLst>
                <a:outerShdw blurRad="63500" dir="3600000" algn="tl" rotWithShape="0">
                  <a:srgbClr val="000000">
                    <a:alpha val="70000"/>
                  </a:srgbClr>
                </a:outerShdw>
              </a:effectLst>
            </a:rPr>
            <a:t> Template</a:t>
          </a:r>
          <a:endParaRPr lang="en-US" sz="2000" b="0" cap="none" spc="0">
            <a:ln w="18415" cmpd="sng">
              <a:solidFill>
                <a:srgbClr val="FFFFFF"/>
              </a:solidFill>
              <a:prstDash val="solid"/>
            </a:ln>
            <a:solidFill>
              <a:srgbClr val="FFFFFF"/>
            </a:solidFill>
            <a:effectLst>
              <a:outerShdw blurRad="63500" dir="3600000" algn="tl" rotWithShape="0">
                <a:srgbClr val="000000">
                  <a:alpha val="70000"/>
                </a:srgbClr>
              </a:outerShdw>
            </a:effectLst>
          </a:endParaRPr>
        </a:p>
      </xdr:txBody>
    </xdr:sp>
    <xdr:clientData/>
  </xdr:oneCellAnchor>
  <xdr:twoCellAnchor editAs="oneCell">
    <xdr:from>
      <xdr:col>1</xdr:col>
      <xdr:colOff>19050</xdr:colOff>
      <xdr:row>0</xdr:row>
      <xdr:rowOff>95250</xdr:rowOff>
    </xdr:from>
    <xdr:to>
      <xdr:col>3</xdr:col>
      <xdr:colOff>171071</xdr:colOff>
      <xdr:row>2</xdr:row>
      <xdr:rowOff>95251</xdr:rowOff>
    </xdr:to>
    <xdr:pic>
      <xdr:nvPicPr>
        <xdr:cNvPr id="2" name="Picture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5250" y="95250"/>
          <a:ext cx="1152146" cy="30480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227368</xdr:colOff>
      <xdr:row>16</xdr:row>
      <xdr:rowOff>161924</xdr:rowOff>
    </xdr:from>
    <xdr:to>
      <xdr:col>20</xdr:col>
      <xdr:colOff>45653</xdr:colOff>
      <xdr:row>35</xdr:row>
      <xdr:rowOff>94246</xdr:rowOff>
    </xdr:to>
    <xdr:pic>
      <xdr:nvPicPr>
        <xdr:cNvPr id="2" name="Picture 1"/>
        <xdr:cNvPicPr>
          <a:picLocks noChangeAspect="1"/>
        </xdr:cNvPicPr>
      </xdr:nvPicPr>
      <xdr:blipFill>
        <a:blip xmlns:r="http://schemas.openxmlformats.org/officeDocument/2006/relationships" r:embed="rId1"/>
        <a:stretch>
          <a:fillRect/>
        </a:stretch>
      </xdr:blipFill>
      <xdr:spPr>
        <a:xfrm>
          <a:off x="6323368" y="2752724"/>
          <a:ext cx="5914285" cy="3008897"/>
        </a:xfrm>
        <a:prstGeom prst="rect">
          <a:avLst/>
        </a:prstGeom>
      </xdr:spPr>
    </xdr:pic>
    <xdr:clientData/>
  </xdr:twoCellAnchor>
  <xdr:twoCellAnchor editAs="oneCell">
    <xdr:from>
      <xdr:col>12</xdr:col>
      <xdr:colOff>33762</xdr:colOff>
      <xdr:row>4</xdr:row>
      <xdr:rowOff>47625</xdr:rowOff>
    </xdr:from>
    <xdr:to>
      <xdr:col>16</xdr:col>
      <xdr:colOff>200025</xdr:colOff>
      <xdr:row>15</xdr:row>
      <xdr:rowOff>156247</xdr:rowOff>
    </xdr:to>
    <xdr:pic>
      <xdr:nvPicPr>
        <xdr:cNvPr id="3" name="Picture 2"/>
        <xdr:cNvPicPr>
          <a:picLocks noChangeAspect="1"/>
        </xdr:cNvPicPr>
      </xdr:nvPicPr>
      <xdr:blipFill>
        <a:blip xmlns:r="http://schemas.openxmlformats.org/officeDocument/2006/relationships" r:embed="rId2"/>
        <a:stretch>
          <a:fillRect/>
        </a:stretch>
      </xdr:blipFill>
      <xdr:spPr>
        <a:xfrm>
          <a:off x="7348962" y="695325"/>
          <a:ext cx="2604663" cy="1889797"/>
        </a:xfrm>
        <a:prstGeom prst="rect">
          <a:avLst/>
        </a:prstGeom>
      </xdr:spPr>
    </xdr:pic>
    <xdr:clientData/>
  </xdr:twoCellAnchor>
  <xdr:twoCellAnchor editAs="oneCell">
    <xdr:from>
      <xdr:col>24</xdr:col>
      <xdr:colOff>66675</xdr:colOff>
      <xdr:row>17</xdr:row>
      <xdr:rowOff>93768</xdr:rowOff>
    </xdr:from>
    <xdr:to>
      <xdr:col>36</xdr:col>
      <xdr:colOff>350537</xdr:colOff>
      <xdr:row>38</xdr:row>
      <xdr:rowOff>2071</xdr:rowOff>
    </xdr:to>
    <xdr:pic>
      <xdr:nvPicPr>
        <xdr:cNvPr id="4" name="Picture 3"/>
        <xdr:cNvPicPr>
          <a:picLocks noChangeAspect="1"/>
        </xdr:cNvPicPr>
      </xdr:nvPicPr>
      <xdr:blipFill>
        <a:blip xmlns:r="http://schemas.openxmlformats.org/officeDocument/2006/relationships" r:embed="rId3"/>
        <a:stretch>
          <a:fillRect/>
        </a:stretch>
      </xdr:blipFill>
      <xdr:spPr>
        <a:xfrm>
          <a:off x="14697075" y="2846493"/>
          <a:ext cx="7599062" cy="3308728"/>
        </a:xfrm>
        <a:prstGeom prst="rect">
          <a:avLst/>
        </a:prstGeom>
      </xdr:spPr>
    </xdr:pic>
    <xdr:clientData/>
  </xdr:twoCellAnchor>
  <xdr:twoCellAnchor editAs="oneCell">
    <xdr:from>
      <xdr:col>24</xdr:col>
      <xdr:colOff>581025</xdr:colOff>
      <xdr:row>49</xdr:row>
      <xdr:rowOff>1829</xdr:rowOff>
    </xdr:from>
    <xdr:to>
      <xdr:col>33</xdr:col>
      <xdr:colOff>531645</xdr:colOff>
      <xdr:row>58</xdr:row>
      <xdr:rowOff>79116</xdr:rowOff>
    </xdr:to>
    <xdr:pic>
      <xdr:nvPicPr>
        <xdr:cNvPr id="5" name="Picture 4"/>
        <xdr:cNvPicPr>
          <a:picLocks noChangeAspect="1"/>
        </xdr:cNvPicPr>
      </xdr:nvPicPr>
      <xdr:blipFill>
        <a:blip xmlns:r="http://schemas.openxmlformats.org/officeDocument/2006/relationships" r:embed="rId4"/>
        <a:stretch>
          <a:fillRect/>
        </a:stretch>
      </xdr:blipFill>
      <xdr:spPr>
        <a:xfrm>
          <a:off x="15211425" y="7936154"/>
          <a:ext cx="5503695" cy="1534612"/>
        </a:xfrm>
        <a:prstGeom prst="rect">
          <a:avLst/>
        </a:prstGeom>
      </xdr:spPr>
    </xdr:pic>
    <xdr:clientData/>
  </xdr:twoCellAnchor>
  <xdr:twoCellAnchor editAs="oneCell">
    <xdr:from>
      <xdr:col>25</xdr:col>
      <xdr:colOff>304800</xdr:colOff>
      <xdr:row>59</xdr:row>
      <xdr:rowOff>5392</xdr:rowOff>
    </xdr:from>
    <xdr:to>
      <xdr:col>33</xdr:col>
      <xdr:colOff>348083</xdr:colOff>
      <xdr:row>71</xdr:row>
      <xdr:rowOff>142876</xdr:rowOff>
    </xdr:to>
    <xdr:pic>
      <xdr:nvPicPr>
        <xdr:cNvPr id="6" name="Picture 5"/>
        <xdr:cNvPicPr>
          <a:picLocks noChangeAspect="1"/>
        </xdr:cNvPicPr>
      </xdr:nvPicPr>
      <xdr:blipFill>
        <a:blip xmlns:r="http://schemas.openxmlformats.org/officeDocument/2006/relationships" r:embed="rId5"/>
        <a:stretch>
          <a:fillRect/>
        </a:stretch>
      </xdr:blipFill>
      <xdr:spPr>
        <a:xfrm>
          <a:off x="15544800" y="9558967"/>
          <a:ext cx="4920083" cy="2080584"/>
        </a:xfrm>
        <a:prstGeom prst="rect">
          <a:avLst/>
        </a:prstGeom>
      </xdr:spPr>
    </xdr:pic>
    <xdr:clientData/>
  </xdr:twoCellAnchor>
  <xdr:twoCellAnchor editAs="oneCell">
    <xdr:from>
      <xdr:col>25</xdr:col>
      <xdr:colOff>361951</xdr:colOff>
      <xdr:row>72</xdr:row>
      <xdr:rowOff>19050</xdr:rowOff>
    </xdr:from>
    <xdr:to>
      <xdr:col>33</xdr:col>
      <xdr:colOff>432183</xdr:colOff>
      <xdr:row>85</xdr:row>
      <xdr:rowOff>76200</xdr:rowOff>
    </xdr:to>
    <xdr:pic>
      <xdr:nvPicPr>
        <xdr:cNvPr id="7" name="Picture 6"/>
        <xdr:cNvPicPr>
          <a:picLocks noChangeAspect="1"/>
        </xdr:cNvPicPr>
      </xdr:nvPicPr>
      <xdr:blipFill>
        <a:blip xmlns:r="http://schemas.openxmlformats.org/officeDocument/2006/relationships" r:embed="rId6"/>
        <a:stretch>
          <a:fillRect/>
        </a:stretch>
      </xdr:blipFill>
      <xdr:spPr>
        <a:xfrm>
          <a:off x="15601951" y="11677650"/>
          <a:ext cx="4947032" cy="2162175"/>
        </a:xfrm>
        <a:prstGeom prst="rect">
          <a:avLst/>
        </a:prstGeom>
      </xdr:spPr>
    </xdr:pic>
    <xdr:clientData/>
  </xdr:twoCellAnchor>
  <xdr:twoCellAnchor editAs="oneCell">
    <xdr:from>
      <xdr:col>34</xdr:col>
      <xdr:colOff>83</xdr:colOff>
      <xdr:row>47</xdr:row>
      <xdr:rowOff>161924</xdr:rowOff>
    </xdr:from>
    <xdr:to>
      <xdr:col>42</xdr:col>
      <xdr:colOff>150524</xdr:colOff>
      <xdr:row>61</xdr:row>
      <xdr:rowOff>38099</xdr:rowOff>
    </xdr:to>
    <xdr:pic>
      <xdr:nvPicPr>
        <xdr:cNvPr id="8" name="Picture 7"/>
        <xdr:cNvPicPr>
          <a:picLocks noChangeAspect="1"/>
        </xdr:cNvPicPr>
      </xdr:nvPicPr>
      <xdr:blipFill>
        <a:blip xmlns:r="http://schemas.openxmlformats.org/officeDocument/2006/relationships" r:embed="rId7"/>
        <a:stretch>
          <a:fillRect/>
        </a:stretch>
      </xdr:blipFill>
      <xdr:spPr>
        <a:xfrm>
          <a:off x="20726483" y="7772399"/>
          <a:ext cx="5027241" cy="2143125"/>
        </a:xfrm>
        <a:prstGeom prst="rect">
          <a:avLst/>
        </a:prstGeom>
      </xdr:spPr>
    </xdr:pic>
    <xdr:clientData/>
  </xdr:twoCellAnchor>
  <xdr:twoCellAnchor editAs="oneCell">
    <xdr:from>
      <xdr:col>33</xdr:col>
      <xdr:colOff>504825</xdr:colOff>
      <xdr:row>60</xdr:row>
      <xdr:rowOff>133350</xdr:rowOff>
    </xdr:from>
    <xdr:to>
      <xdr:col>42</xdr:col>
      <xdr:colOff>76200</xdr:colOff>
      <xdr:row>74</xdr:row>
      <xdr:rowOff>137929</xdr:rowOff>
    </xdr:to>
    <xdr:pic>
      <xdr:nvPicPr>
        <xdr:cNvPr id="9" name="Picture 8"/>
        <xdr:cNvPicPr>
          <a:picLocks noChangeAspect="1"/>
        </xdr:cNvPicPr>
      </xdr:nvPicPr>
      <xdr:blipFill>
        <a:blip xmlns:r="http://schemas.openxmlformats.org/officeDocument/2006/relationships" r:embed="rId8"/>
        <a:stretch>
          <a:fillRect/>
        </a:stretch>
      </xdr:blipFill>
      <xdr:spPr>
        <a:xfrm>
          <a:off x="20621625" y="9848850"/>
          <a:ext cx="5057775" cy="2271529"/>
        </a:xfrm>
        <a:prstGeom prst="rect">
          <a:avLst/>
        </a:prstGeom>
      </xdr:spPr>
    </xdr:pic>
    <xdr:clientData/>
  </xdr:twoCellAnchor>
  <xdr:twoCellAnchor editAs="oneCell">
    <xdr:from>
      <xdr:col>33</xdr:col>
      <xdr:colOff>466725</xdr:colOff>
      <xdr:row>74</xdr:row>
      <xdr:rowOff>130961</xdr:rowOff>
    </xdr:from>
    <xdr:to>
      <xdr:col>42</xdr:col>
      <xdr:colOff>114300</xdr:colOff>
      <xdr:row>88</xdr:row>
      <xdr:rowOff>35952</xdr:rowOff>
    </xdr:to>
    <xdr:pic>
      <xdr:nvPicPr>
        <xdr:cNvPr id="10" name="Picture 9"/>
        <xdr:cNvPicPr>
          <a:picLocks noChangeAspect="1"/>
        </xdr:cNvPicPr>
      </xdr:nvPicPr>
      <xdr:blipFill>
        <a:blip xmlns:r="http://schemas.openxmlformats.org/officeDocument/2006/relationships" r:embed="rId9"/>
        <a:stretch>
          <a:fillRect/>
        </a:stretch>
      </xdr:blipFill>
      <xdr:spPr>
        <a:xfrm>
          <a:off x="20583525" y="12113411"/>
          <a:ext cx="5133975" cy="2171941"/>
        </a:xfrm>
        <a:prstGeom prst="rect">
          <a:avLst/>
        </a:prstGeom>
      </xdr:spPr>
    </xdr:pic>
    <xdr:clientData/>
  </xdr:twoCellAnchor>
  <xdr:twoCellAnchor editAs="oneCell">
    <xdr:from>
      <xdr:col>7</xdr:col>
      <xdr:colOff>571286</xdr:colOff>
      <xdr:row>57</xdr:row>
      <xdr:rowOff>28575</xdr:rowOff>
    </xdr:from>
    <xdr:to>
      <xdr:col>11</xdr:col>
      <xdr:colOff>428625</xdr:colOff>
      <xdr:row>62</xdr:row>
      <xdr:rowOff>150381</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4838486" y="9258300"/>
          <a:ext cx="2295739" cy="931431"/>
        </a:xfrm>
        <a:prstGeom prst="rect">
          <a:avLst/>
        </a:prstGeom>
      </xdr:spPr>
    </xdr:pic>
    <xdr:clientData/>
  </xdr:twoCellAnchor>
  <xdr:twoCellAnchor editAs="oneCell">
    <xdr:from>
      <xdr:col>2</xdr:col>
      <xdr:colOff>67006</xdr:colOff>
      <xdr:row>82</xdr:row>
      <xdr:rowOff>123824</xdr:rowOff>
    </xdr:from>
    <xdr:to>
      <xdr:col>11</xdr:col>
      <xdr:colOff>95250</xdr:colOff>
      <xdr:row>97</xdr:row>
      <xdr:rowOff>61308</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1286206" y="13401674"/>
          <a:ext cx="5514644" cy="2366359"/>
        </a:xfrm>
        <a:prstGeom prst="rect">
          <a:avLst/>
        </a:prstGeom>
      </xdr:spPr>
    </xdr:pic>
    <xdr:clientData/>
  </xdr:twoCellAnchor>
  <xdr:twoCellAnchor editAs="oneCell">
    <xdr:from>
      <xdr:col>2</xdr:col>
      <xdr:colOff>63992</xdr:colOff>
      <xdr:row>75</xdr:row>
      <xdr:rowOff>28575</xdr:rowOff>
    </xdr:from>
    <xdr:to>
      <xdr:col>6</xdr:col>
      <xdr:colOff>123826</xdr:colOff>
      <xdr:row>82</xdr:row>
      <xdr:rowOff>60496</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1283192" y="12172950"/>
          <a:ext cx="2498234" cy="1165396"/>
        </a:xfrm>
        <a:prstGeom prst="rect">
          <a:avLst/>
        </a:prstGeom>
      </xdr:spPr>
    </xdr:pic>
    <xdr:clientData/>
  </xdr:twoCellAnchor>
  <xdr:twoCellAnchor editAs="oneCell">
    <xdr:from>
      <xdr:col>6</xdr:col>
      <xdr:colOff>333375</xdr:colOff>
      <xdr:row>75</xdr:row>
      <xdr:rowOff>42133</xdr:rowOff>
    </xdr:from>
    <xdr:to>
      <xdr:col>11</xdr:col>
      <xdr:colOff>87490</xdr:colOff>
      <xdr:row>82</xdr:row>
      <xdr:rowOff>66675</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3990975" y="12186508"/>
          <a:ext cx="2802115" cy="1158017"/>
        </a:xfrm>
        <a:prstGeom prst="rect">
          <a:avLst/>
        </a:prstGeom>
      </xdr:spPr>
    </xdr:pic>
    <xdr:clientData/>
  </xdr:twoCellAnchor>
  <xdr:twoCellAnchor editAs="oneCell">
    <xdr:from>
      <xdr:col>2</xdr:col>
      <xdr:colOff>595123</xdr:colOff>
      <xdr:row>109</xdr:row>
      <xdr:rowOff>0</xdr:rowOff>
    </xdr:from>
    <xdr:to>
      <xdr:col>11</xdr:col>
      <xdr:colOff>381001</xdr:colOff>
      <xdr:row>123</xdr:row>
      <xdr:rowOff>71104</xdr:rowOff>
    </xdr:to>
    <xdr:pic>
      <xdr:nvPicPr>
        <xdr:cNvPr id="15" name="Picture 14"/>
        <xdr:cNvPicPr>
          <a:picLocks noChangeAspect="1"/>
        </xdr:cNvPicPr>
      </xdr:nvPicPr>
      <xdr:blipFill>
        <a:blip xmlns:r="http://schemas.openxmlformats.org/officeDocument/2006/relationships" r:embed="rId14"/>
        <a:stretch>
          <a:fillRect/>
        </a:stretch>
      </xdr:blipFill>
      <xdr:spPr>
        <a:xfrm>
          <a:off x="1814323" y="17649825"/>
          <a:ext cx="5272278" cy="2338054"/>
        </a:xfrm>
        <a:prstGeom prst="rect">
          <a:avLst/>
        </a:prstGeom>
      </xdr:spPr>
    </xdr:pic>
    <xdr:clientData/>
  </xdr:twoCellAnchor>
  <xdr:twoCellAnchor editAs="oneCell">
    <xdr:from>
      <xdr:col>3</xdr:col>
      <xdr:colOff>57150</xdr:colOff>
      <xdr:row>123</xdr:row>
      <xdr:rowOff>104774</xdr:rowOff>
    </xdr:from>
    <xdr:to>
      <xdr:col>11</xdr:col>
      <xdr:colOff>347935</xdr:colOff>
      <xdr:row>150</xdr:row>
      <xdr:rowOff>18274</xdr:rowOff>
    </xdr:to>
    <xdr:pic>
      <xdr:nvPicPr>
        <xdr:cNvPr id="16" name="Picture 15"/>
        <xdr:cNvPicPr>
          <a:picLocks noChangeAspect="1"/>
        </xdr:cNvPicPr>
      </xdr:nvPicPr>
      <xdr:blipFill>
        <a:blip xmlns:r="http://schemas.openxmlformats.org/officeDocument/2006/relationships" r:embed="rId15"/>
        <a:stretch>
          <a:fillRect/>
        </a:stretch>
      </xdr:blipFill>
      <xdr:spPr>
        <a:xfrm>
          <a:off x="1885950" y="20021549"/>
          <a:ext cx="5167585" cy="4285475"/>
        </a:xfrm>
        <a:prstGeom prst="rect">
          <a:avLst/>
        </a:prstGeom>
      </xdr:spPr>
    </xdr:pic>
    <xdr:clientData/>
  </xdr:twoCellAnchor>
  <xdr:twoCellAnchor editAs="oneCell">
    <xdr:from>
      <xdr:col>3</xdr:col>
      <xdr:colOff>0</xdr:colOff>
      <xdr:row>151</xdr:row>
      <xdr:rowOff>0</xdr:rowOff>
    </xdr:from>
    <xdr:to>
      <xdr:col>11</xdr:col>
      <xdr:colOff>349362</xdr:colOff>
      <xdr:row>164</xdr:row>
      <xdr:rowOff>133350</xdr:rowOff>
    </xdr:to>
    <xdr:pic>
      <xdr:nvPicPr>
        <xdr:cNvPr id="17" name="Picture 16"/>
        <xdr:cNvPicPr>
          <a:picLocks noChangeAspect="1"/>
        </xdr:cNvPicPr>
      </xdr:nvPicPr>
      <xdr:blipFill>
        <a:blip xmlns:r="http://schemas.openxmlformats.org/officeDocument/2006/relationships" r:embed="rId16"/>
        <a:stretch>
          <a:fillRect/>
        </a:stretch>
      </xdr:blipFill>
      <xdr:spPr>
        <a:xfrm>
          <a:off x="1828800" y="24450675"/>
          <a:ext cx="5226162" cy="2238375"/>
        </a:xfrm>
        <a:prstGeom prst="rect">
          <a:avLst/>
        </a:prstGeom>
      </xdr:spPr>
    </xdr:pic>
    <xdr:clientData/>
  </xdr:twoCellAnchor>
  <xdr:twoCellAnchor editAs="oneCell">
    <xdr:from>
      <xdr:col>3</xdr:col>
      <xdr:colOff>71614</xdr:colOff>
      <xdr:row>185</xdr:row>
      <xdr:rowOff>104775</xdr:rowOff>
    </xdr:from>
    <xdr:to>
      <xdr:col>11</xdr:col>
      <xdr:colOff>510116</xdr:colOff>
      <xdr:row>200</xdr:row>
      <xdr:rowOff>28575</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1900414" y="30060900"/>
          <a:ext cx="5315302" cy="2352675"/>
        </a:xfrm>
        <a:prstGeom prst="rect">
          <a:avLst/>
        </a:prstGeom>
      </xdr:spPr>
    </xdr:pic>
    <xdr:clientData/>
  </xdr:twoCellAnchor>
  <xdr:twoCellAnchor editAs="oneCell">
    <xdr:from>
      <xdr:col>3</xdr:col>
      <xdr:colOff>76200</xdr:colOff>
      <xdr:row>200</xdr:row>
      <xdr:rowOff>104775</xdr:rowOff>
    </xdr:from>
    <xdr:to>
      <xdr:col>7</xdr:col>
      <xdr:colOff>337651</xdr:colOff>
      <xdr:row>216</xdr:row>
      <xdr:rowOff>47625</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1905000" y="32489775"/>
          <a:ext cx="2699851" cy="2533650"/>
        </a:xfrm>
        <a:prstGeom prst="rect">
          <a:avLst/>
        </a:prstGeom>
      </xdr:spPr>
    </xdr:pic>
    <xdr:clientData/>
  </xdr:twoCellAnchor>
  <xdr:twoCellAnchor editAs="oneCell">
    <xdr:from>
      <xdr:col>3</xdr:col>
      <xdr:colOff>95251</xdr:colOff>
      <xdr:row>216</xdr:row>
      <xdr:rowOff>133351</xdr:rowOff>
    </xdr:from>
    <xdr:to>
      <xdr:col>12</xdr:col>
      <xdr:colOff>1774</xdr:colOff>
      <xdr:row>231</xdr:row>
      <xdr:rowOff>28576</xdr:rowOff>
    </xdr:to>
    <xdr:pic>
      <xdr:nvPicPr>
        <xdr:cNvPr id="20" name="Picture 19"/>
        <xdr:cNvPicPr>
          <a:picLocks noChangeAspect="1"/>
        </xdr:cNvPicPr>
      </xdr:nvPicPr>
      <xdr:blipFill>
        <a:blip xmlns:r="http://schemas.openxmlformats.org/officeDocument/2006/relationships" r:embed="rId19"/>
        <a:stretch>
          <a:fillRect/>
        </a:stretch>
      </xdr:blipFill>
      <xdr:spPr>
        <a:xfrm>
          <a:off x="1924051" y="35109151"/>
          <a:ext cx="5364348" cy="2324100"/>
        </a:xfrm>
        <a:prstGeom prst="rect">
          <a:avLst/>
        </a:prstGeom>
      </xdr:spPr>
    </xdr:pic>
    <xdr:clientData/>
  </xdr:twoCellAnchor>
  <xdr:twoCellAnchor editAs="oneCell">
    <xdr:from>
      <xdr:col>3</xdr:col>
      <xdr:colOff>28575</xdr:colOff>
      <xdr:row>252</xdr:row>
      <xdr:rowOff>114300</xdr:rowOff>
    </xdr:from>
    <xdr:to>
      <xdr:col>11</xdr:col>
      <xdr:colOff>504798</xdr:colOff>
      <xdr:row>267</xdr:row>
      <xdr:rowOff>19050</xdr:rowOff>
    </xdr:to>
    <xdr:pic>
      <xdr:nvPicPr>
        <xdr:cNvPr id="21" name="Picture 20"/>
        <xdr:cNvPicPr>
          <a:picLocks noChangeAspect="1"/>
        </xdr:cNvPicPr>
      </xdr:nvPicPr>
      <xdr:blipFill>
        <a:blip xmlns:r="http://schemas.openxmlformats.org/officeDocument/2006/relationships" r:embed="rId20"/>
        <a:stretch>
          <a:fillRect/>
        </a:stretch>
      </xdr:blipFill>
      <xdr:spPr>
        <a:xfrm>
          <a:off x="1857375" y="40919400"/>
          <a:ext cx="5353023" cy="2333625"/>
        </a:xfrm>
        <a:prstGeom prst="rect">
          <a:avLst/>
        </a:prstGeom>
      </xdr:spPr>
    </xdr:pic>
    <xdr:clientData/>
  </xdr:twoCellAnchor>
  <xdr:twoCellAnchor editAs="oneCell">
    <xdr:from>
      <xdr:col>3</xdr:col>
      <xdr:colOff>67613</xdr:colOff>
      <xdr:row>267</xdr:row>
      <xdr:rowOff>66675</xdr:rowOff>
    </xdr:from>
    <xdr:to>
      <xdr:col>7</xdr:col>
      <xdr:colOff>314325</xdr:colOff>
      <xdr:row>281</xdr:row>
      <xdr:rowOff>127054</xdr:rowOff>
    </xdr:to>
    <xdr:pic>
      <xdr:nvPicPr>
        <xdr:cNvPr id="22" name="Picture 21"/>
        <xdr:cNvPicPr>
          <a:picLocks noChangeAspect="1"/>
        </xdr:cNvPicPr>
      </xdr:nvPicPr>
      <xdr:blipFill>
        <a:blip xmlns:r="http://schemas.openxmlformats.org/officeDocument/2006/relationships" r:embed="rId21"/>
        <a:stretch>
          <a:fillRect/>
        </a:stretch>
      </xdr:blipFill>
      <xdr:spPr>
        <a:xfrm>
          <a:off x="1896413" y="43300650"/>
          <a:ext cx="2685112" cy="2327329"/>
        </a:xfrm>
        <a:prstGeom prst="rect">
          <a:avLst/>
        </a:prstGeom>
      </xdr:spPr>
    </xdr:pic>
    <xdr:clientData/>
  </xdr:twoCellAnchor>
  <xdr:twoCellAnchor editAs="oneCell">
    <xdr:from>
      <xdr:col>3</xdr:col>
      <xdr:colOff>123825</xdr:colOff>
      <xdr:row>289</xdr:row>
      <xdr:rowOff>66114</xdr:rowOff>
    </xdr:from>
    <xdr:to>
      <xdr:col>12</xdr:col>
      <xdr:colOff>4232</xdr:colOff>
      <xdr:row>303</xdr:row>
      <xdr:rowOff>133350</xdr:rowOff>
    </xdr:to>
    <xdr:pic>
      <xdr:nvPicPr>
        <xdr:cNvPr id="23" name="Picture 22"/>
        <xdr:cNvPicPr>
          <a:picLocks noChangeAspect="1"/>
        </xdr:cNvPicPr>
      </xdr:nvPicPr>
      <xdr:blipFill>
        <a:blip xmlns:r="http://schemas.openxmlformats.org/officeDocument/2006/relationships" r:embed="rId22"/>
        <a:stretch>
          <a:fillRect/>
        </a:stretch>
      </xdr:blipFill>
      <xdr:spPr>
        <a:xfrm>
          <a:off x="1952625" y="46862439"/>
          <a:ext cx="5300132" cy="2334186"/>
        </a:xfrm>
        <a:prstGeom prst="rect">
          <a:avLst/>
        </a:prstGeom>
      </xdr:spPr>
    </xdr:pic>
    <xdr:clientData/>
  </xdr:twoCellAnchor>
  <xdr:twoCellAnchor editAs="oneCell">
    <xdr:from>
      <xdr:col>3</xdr:col>
      <xdr:colOff>104775</xdr:colOff>
      <xdr:row>304</xdr:row>
      <xdr:rowOff>28574</xdr:rowOff>
    </xdr:from>
    <xdr:to>
      <xdr:col>7</xdr:col>
      <xdr:colOff>114315</xdr:colOff>
      <xdr:row>317</xdr:row>
      <xdr:rowOff>38100</xdr:rowOff>
    </xdr:to>
    <xdr:pic>
      <xdr:nvPicPr>
        <xdr:cNvPr id="24" name="Picture 23"/>
        <xdr:cNvPicPr>
          <a:picLocks noChangeAspect="1"/>
        </xdr:cNvPicPr>
      </xdr:nvPicPr>
      <xdr:blipFill>
        <a:blip xmlns:r="http://schemas.openxmlformats.org/officeDocument/2006/relationships" r:embed="rId23"/>
        <a:stretch>
          <a:fillRect/>
        </a:stretch>
      </xdr:blipFill>
      <xdr:spPr>
        <a:xfrm>
          <a:off x="1933575" y="49253774"/>
          <a:ext cx="2447940" cy="2114551"/>
        </a:xfrm>
        <a:prstGeom prst="rect">
          <a:avLst/>
        </a:prstGeom>
      </xdr:spPr>
    </xdr:pic>
    <xdr:clientData/>
  </xdr:twoCellAnchor>
  <xdr:twoCellAnchor editAs="oneCell">
    <xdr:from>
      <xdr:col>3</xdr:col>
      <xdr:colOff>104776</xdr:colOff>
      <xdr:row>317</xdr:row>
      <xdr:rowOff>104775</xdr:rowOff>
    </xdr:from>
    <xdr:to>
      <xdr:col>7</xdr:col>
      <xdr:colOff>482460</xdr:colOff>
      <xdr:row>325</xdr:row>
      <xdr:rowOff>19051</xdr:rowOff>
    </xdr:to>
    <xdr:pic>
      <xdr:nvPicPr>
        <xdr:cNvPr id="25" name="Picture 24"/>
        <xdr:cNvPicPr>
          <a:picLocks noChangeAspect="1"/>
        </xdr:cNvPicPr>
      </xdr:nvPicPr>
      <xdr:blipFill>
        <a:blip xmlns:r="http://schemas.openxmlformats.org/officeDocument/2006/relationships" r:embed="rId24"/>
        <a:stretch>
          <a:fillRect/>
        </a:stretch>
      </xdr:blipFill>
      <xdr:spPr>
        <a:xfrm>
          <a:off x="1933576" y="51435000"/>
          <a:ext cx="2816084" cy="1209676"/>
        </a:xfrm>
        <a:prstGeom prst="rect">
          <a:avLst/>
        </a:prstGeom>
      </xdr:spPr>
    </xdr:pic>
    <xdr:clientData/>
  </xdr:twoCellAnchor>
  <xdr:twoCellAnchor editAs="oneCell">
    <xdr:from>
      <xdr:col>7</xdr:col>
      <xdr:colOff>180974</xdr:colOff>
      <xdr:row>306</xdr:row>
      <xdr:rowOff>38268</xdr:rowOff>
    </xdr:from>
    <xdr:to>
      <xdr:col>11</xdr:col>
      <xdr:colOff>503885</xdr:colOff>
      <xdr:row>317</xdr:row>
      <xdr:rowOff>27972</xdr:rowOff>
    </xdr:to>
    <xdr:pic>
      <xdr:nvPicPr>
        <xdr:cNvPr id="26" name="Picture 25"/>
        <xdr:cNvPicPr>
          <a:picLocks noChangeAspect="1"/>
        </xdr:cNvPicPr>
      </xdr:nvPicPr>
      <xdr:blipFill>
        <a:blip xmlns:r="http://schemas.openxmlformats.org/officeDocument/2006/relationships" r:embed="rId25"/>
        <a:stretch>
          <a:fillRect/>
        </a:stretch>
      </xdr:blipFill>
      <xdr:spPr>
        <a:xfrm>
          <a:off x="4448174" y="49587318"/>
          <a:ext cx="2761311" cy="1770879"/>
        </a:xfrm>
        <a:prstGeom prst="rect">
          <a:avLst/>
        </a:prstGeom>
      </xdr:spPr>
    </xdr:pic>
    <xdr:clientData/>
  </xdr:twoCellAnchor>
  <xdr:twoCellAnchor editAs="oneCell">
    <xdr:from>
      <xdr:col>12</xdr:col>
      <xdr:colOff>61911</xdr:colOff>
      <xdr:row>70</xdr:row>
      <xdr:rowOff>85724</xdr:rowOff>
    </xdr:from>
    <xdr:to>
      <xdr:col>18</xdr:col>
      <xdr:colOff>113372</xdr:colOff>
      <xdr:row>77</xdr:row>
      <xdr:rowOff>161622</xdr:rowOff>
    </xdr:to>
    <xdr:pic>
      <xdr:nvPicPr>
        <xdr:cNvPr id="27" name="Picture 26"/>
        <xdr:cNvPicPr>
          <a:picLocks noChangeAspect="1"/>
        </xdr:cNvPicPr>
      </xdr:nvPicPr>
      <xdr:blipFill>
        <a:blip xmlns:r="http://schemas.openxmlformats.org/officeDocument/2006/relationships" r:embed="rId26"/>
        <a:stretch>
          <a:fillRect/>
        </a:stretch>
      </xdr:blipFill>
      <xdr:spPr>
        <a:xfrm>
          <a:off x="7377111" y="11420474"/>
          <a:ext cx="3709061" cy="1209373"/>
        </a:xfrm>
        <a:prstGeom prst="rect">
          <a:avLst/>
        </a:prstGeom>
      </xdr:spPr>
    </xdr:pic>
    <xdr:clientData/>
  </xdr:twoCellAnchor>
  <xdr:twoCellAnchor editAs="oneCell">
    <xdr:from>
      <xdr:col>18</xdr:col>
      <xdr:colOff>334905</xdr:colOff>
      <xdr:row>70</xdr:row>
      <xdr:rowOff>85725</xdr:rowOff>
    </xdr:from>
    <xdr:to>
      <xdr:col>23</xdr:col>
      <xdr:colOff>131084</xdr:colOff>
      <xdr:row>78</xdr:row>
      <xdr:rowOff>1</xdr:rowOff>
    </xdr:to>
    <xdr:pic>
      <xdr:nvPicPr>
        <xdr:cNvPr id="28" name="Picture 27"/>
        <xdr:cNvPicPr>
          <a:picLocks noChangeAspect="1"/>
        </xdr:cNvPicPr>
      </xdr:nvPicPr>
      <xdr:blipFill>
        <a:blip xmlns:r="http://schemas.openxmlformats.org/officeDocument/2006/relationships" r:embed="rId27"/>
        <a:stretch>
          <a:fillRect/>
        </a:stretch>
      </xdr:blipFill>
      <xdr:spPr>
        <a:xfrm>
          <a:off x="11307705" y="11420475"/>
          <a:ext cx="2844179" cy="1209676"/>
        </a:xfrm>
        <a:prstGeom prst="rect">
          <a:avLst/>
        </a:prstGeom>
      </xdr:spPr>
    </xdr:pic>
    <xdr:clientData/>
  </xdr:twoCellAnchor>
  <xdr:twoCellAnchor editAs="oneCell">
    <xdr:from>
      <xdr:col>12</xdr:col>
      <xdr:colOff>161926</xdr:colOff>
      <xdr:row>78</xdr:row>
      <xdr:rowOff>71471</xdr:rowOff>
    </xdr:from>
    <xdr:to>
      <xdr:col>23</xdr:col>
      <xdr:colOff>28576</xdr:colOff>
      <xdr:row>96</xdr:row>
      <xdr:rowOff>78266</xdr:rowOff>
    </xdr:to>
    <xdr:pic>
      <xdr:nvPicPr>
        <xdr:cNvPr id="29" name="Picture 28"/>
        <xdr:cNvPicPr>
          <a:picLocks noChangeAspect="1"/>
        </xdr:cNvPicPr>
      </xdr:nvPicPr>
      <xdr:blipFill>
        <a:blip xmlns:r="http://schemas.openxmlformats.org/officeDocument/2006/relationships" r:embed="rId28"/>
        <a:stretch>
          <a:fillRect/>
        </a:stretch>
      </xdr:blipFill>
      <xdr:spPr>
        <a:xfrm>
          <a:off x="7477126" y="12701621"/>
          <a:ext cx="6572250" cy="2921445"/>
        </a:xfrm>
        <a:prstGeom prst="rect">
          <a:avLst/>
        </a:prstGeom>
      </xdr:spPr>
    </xdr:pic>
    <xdr:clientData/>
  </xdr:twoCellAnchor>
  <xdr:twoCellAnchor editAs="oneCell">
    <xdr:from>
      <xdr:col>14</xdr:col>
      <xdr:colOff>10743</xdr:colOff>
      <xdr:row>107</xdr:row>
      <xdr:rowOff>66674</xdr:rowOff>
    </xdr:from>
    <xdr:to>
      <xdr:col>21</xdr:col>
      <xdr:colOff>152400</xdr:colOff>
      <xdr:row>119</xdr:row>
      <xdr:rowOff>7485</xdr:rowOff>
    </xdr:to>
    <xdr:pic>
      <xdr:nvPicPr>
        <xdr:cNvPr id="30" name="Picture 29"/>
        <xdr:cNvPicPr>
          <a:picLocks noChangeAspect="1"/>
        </xdr:cNvPicPr>
      </xdr:nvPicPr>
      <xdr:blipFill>
        <a:blip xmlns:r="http://schemas.openxmlformats.org/officeDocument/2006/relationships" r:embed="rId29"/>
        <a:stretch>
          <a:fillRect/>
        </a:stretch>
      </xdr:blipFill>
      <xdr:spPr>
        <a:xfrm>
          <a:off x="8545143" y="17392649"/>
          <a:ext cx="4408857" cy="1883911"/>
        </a:xfrm>
        <a:prstGeom prst="rect">
          <a:avLst/>
        </a:prstGeom>
      </xdr:spPr>
    </xdr:pic>
    <xdr:clientData/>
  </xdr:twoCellAnchor>
  <xdr:twoCellAnchor editAs="oneCell">
    <xdr:from>
      <xdr:col>14</xdr:col>
      <xdr:colOff>466725</xdr:colOff>
      <xdr:row>130</xdr:row>
      <xdr:rowOff>43971</xdr:rowOff>
    </xdr:from>
    <xdr:to>
      <xdr:col>23</xdr:col>
      <xdr:colOff>102870</xdr:colOff>
      <xdr:row>144</xdr:row>
      <xdr:rowOff>27739</xdr:rowOff>
    </xdr:to>
    <xdr:pic>
      <xdr:nvPicPr>
        <xdr:cNvPr id="31" name="Picture 30"/>
        <xdr:cNvPicPr>
          <a:picLocks noChangeAspect="1"/>
        </xdr:cNvPicPr>
      </xdr:nvPicPr>
      <xdr:blipFill>
        <a:blip xmlns:r="http://schemas.openxmlformats.org/officeDocument/2006/relationships" r:embed="rId30"/>
        <a:stretch>
          <a:fillRect/>
        </a:stretch>
      </xdr:blipFill>
      <xdr:spPr>
        <a:xfrm>
          <a:off x="9001125" y="21094221"/>
          <a:ext cx="5122545" cy="2250718"/>
        </a:xfrm>
        <a:prstGeom prst="rect">
          <a:avLst/>
        </a:prstGeom>
      </xdr:spPr>
    </xdr:pic>
    <xdr:clientData/>
  </xdr:twoCellAnchor>
  <xdr:twoCellAnchor editAs="oneCell">
    <xdr:from>
      <xdr:col>14</xdr:col>
      <xdr:colOff>115857</xdr:colOff>
      <xdr:row>144</xdr:row>
      <xdr:rowOff>133350</xdr:rowOff>
    </xdr:from>
    <xdr:to>
      <xdr:col>17</xdr:col>
      <xdr:colOff>409575</xdr:colOff>
      <xdr:row>154</xdr:row>
      <xdr:rowOff>58490</xdr:rowOff>
    </xdr:to>
    <xdr:pic>
      <xdr:nvPicPr>
        <xdr:cNvPr id="32" name="Picture 31"/>
        <xdr:cNvPicPr>
          <a:picLocks noChangeAspect="1"/>
        </xdr:cNvPicPr>
      </xdr:nvPicPr>
      <xdr:blipFill>
        <a:blip xmlns:r="http://schemas.openxmlformats.org/officeDocument/2006/relationships" r:embed="rId31"/>
        <a:stretch>
          <a:fillRect/>
        </a:stretch>
      </xdr:blipFill>
      <xdr:spPr>
        <a:xfrm>
          <a:off x="8650257" y="23450550"/>
          <a:ext cx="2122518" cy="1544390"/>
        </a:xfrm>
        <a:prstGeom prst="rect">
          <a:avLst/>
        </a:prstGeom>
      </xdr:spPr>
    </xdr:pic>
    <xdr:clientData/>
  </xdr:twoCellAnchor>
  <xdr:twoCellAnchor editAs="oneCell">
    <xdr:from>
      <xdr:col>14</xdr:col>
      <xdr:colOff>409575</xdr:colOff>
      <xdr:row>155</xdr:row>
      <xdr:rowOff>22103</xdr:rowOff>
    </xdr:from>
    <xdr:to>
      <xdr:col>23</xdr:col>
      <xdr:colOff>131464</xdr:colOff>
      <xdr:row>162</xdr:row>
      <xdr:rowOff>9149</xdr:rowOff>
    </xdr:to>
    <xdr:pic>
      <xdr:nvPicPr>
        <xdr:cNvPr id="33" name="Picture 32"/>
        <xdr:cNvPicPr>
          <a:picLocks noChangeAspect="1"/>
        </xdr:cNvPicPr>
      </xdr:nvPicPr>
      <xdr:blipFill>
        <a:blip xmlns:r="http://schemas.openxmlformats.org/officeDocument/2006/relationships" r:embed="rId32"/>
        <a:stretch>
          <a:fillRect/>
        </a:stretch>
      </xdr:blipFill>
      <xdr:spPr>
        <a:xfrm>
          <a:off x="8943975" y="25120478"/>
          <a:ext cx="5208289" cy="1120521"/>
        </a:xfrm>
        <a:prstGeom prst="rect">
          <a:avLst/>
        </a:prstGeom>
      </xdr:spPr>
    </xdr:pic>
    <xdr:clientData/>
  </xdr:twoCellAnchor>
  <xdr:twoCellAnchor editAs="oneCell">
    <xdr:from>
      <xdr:col>17</xdr:col>
      <xdr:colOff>481727</xdr:colOff>
      <xdr:row>144</xdr:row>
      <xdr:rowOff>133349</xdr:rowOff>
    </xdr:from>
    <xdr:to>
      <xdr:col>23</xdr:col>
      <xdr:colOff>409574</xdr:colOff>
      <xdr:row>154</xdr:row>
      <xdr:rowOff>42988</xdr:rowOff>
    </xdr:to>
    <xdr:pic>
      <xdr:nvPicPr>
        <xdr:cNvPr id="34" name="Picture 33"/>
        <xdr:cNvPicPr>
          <a:picLocks noChangeAspect="1"/>
        </xdr:cNvPicPr>
      </xdr:nvPicPr>
      <xdr:blipFill>
        <a:blip xmlns:r="http://schemas.openxmlformats.org/officeDocument/2006/relationships" r:embed="rId33"/>
        <a:stretch>
          <a:fillRect/>
        </a:stretch>
      </xdr:blipFill>
      <xdr:spPr>
        <a:xfrm>
          <a:off x="10844927" y="23450549"/>
          <a:ext cx="3585447" cy="1528889"/>
        </a:xfrm>
        <a:prstGeom prst="rect">
          <a:avLst/>
        </a:prstGeom>
      </xdr:spPr>
    </xdr:pic>
    <xdr:clientData/>
  </xdr:twoCellAnchor>
  <xdr:twoCellAnchor editAs="oneCell">
    <xdr:from>
      <xdr:col>18</xdr:col>
      <xdr:colOff>307818</xdr:colOff>
      <xdr:row>162</xdr:row>
      <xdr:rowOff>47625</xdr:rowOff>
    </xdr:from>
    <xdr:to>
      <xdr:col>23</xdr:col>
      <xdr:colOff>532591</xdr:colOff>
      <xdr:row>173</xdr:row>
      <xdr:rowOff>18618</xdr:rowOff>
    </xdr:to>
    <xdr:pic>
      <xdr:nvPicPr>
        <xdr:cNvPr id="35" name="Picture 34"/>
        <xdr:cNvPicPr>
          <a:picLocks noChangeAspect="1"/>
        </xdr:cNvPicPr>
      </xdr:nvPicPr>
      <xdr:blipFill>
        <a:blip xmlns:r="http://schemas.openxmlformats.org/officeDocument/2006/relationships" r:embed="rId34"/>
        <a:stretch>
          <a:fillRect/>
        </a:stretch>
      </xdr:blipFill>
      <xdr:spPr>
        <a:xfrm>
          <a:off x="11280618" y="26279475"/>
          <a:ext cx="3282298" cy="1752168"/>
        </a:xfrm>
        <a:prstGeom prst="rect">
          <a:avLst/>
        </a:prstGeom>
      </xdr:spPr>
    </xdr:pic>
    <xdr:clientData/>
  </xdr:twoCellAnchor>
  <xdr:twoCellAnchor editAs="oneCell">
    <xdr:from>
      <xdr:col>14</xdr:col>
      <xdr:colOff>438150</xdr:colOff>
      <xdr:row>189</xdr:row>
      <xdr:rowOff>92413</xdr:rowOff>
    </xdr:from>
    <xdr:to>
      <xdr:col>23</xdr:col>
      <xdr:colOff>226686</xdr:colOff>
      <xdr:row>203</xdr:row>
      <xdr:rowOff>103947</xdr:rowOff>
    </xdr:to>
    <xdr:pic>
      <xdr:nvPicPr>
        <xdr:cNvPr id="36" name="Picture 35"/>
        <xdr:cNvPicPr>
          <a:picLocks noChangeAspect="1"/>
        </xdr:cNvPicPr>
      </xdr:nvPicPr>
      <xdr:blipFill>
        <a:blip xmlns:r="http://schemas.openxmlformats.org/officeDocument/2006/relationships" r:embed="rId35"/>
        <a:stretch>
          <a:fillRect/>
        </a:stretch>
      </xdr:blipFill>
      <xdr:spPr>
        <a:xfrm>
          <a:off x="8972550" y="30696238"/>
          <a:ext cx="5274936" cy="2278484"/>
        </a:xfrm>
        <a:prstGeom prst="rect">
          <a:avLst/>
        </a:prstGeom>
      </xdr:spPr>
    </xdr:pic>
    <xdr:clientData/>
  </xdr:twoCellAnchor>
  <xdr:twoCellAnchor editAs="oneCell">
    <xdr:from>
      <xdr:col>14</xdr:col>
      <xdr:colOff>134198</xdr:colOff>
      <xdr:row>204</xdr:row>
      <xdr:rowOff>28575</xdr:rowOff>
    </xdr:from>
    <xdr:to>
      <xdr:col>17</xdr:col>
      <xdr:colOff>9525</xdr:colOff>
      <xdr:row>215</xdr:row>
      <xdr:rowOff>143460</xdr:rowOff>
    </xdr:to>
    <xdr:pic>
      <xdr:nvPicPr>
        <xdr:cNvPr id="37" name="Picture 36"/>
        <xdr:cNvPicPr>
          <a:picLocks noChangeAspect="1"/>
        </xdr:cNvPicPr>
      </xdr:nvPicPr>
      <xdr:blipFill>
        <a:blip xmlns:r="http://schemas.openxmlformats.org/officeDocument/2006/relationships" r:embed="rId36"/>
        <a:stretch>
          <a:fillRect/>
        </a:stretch>
      </xdr:blipFill>
      <xdr:spPr>
        <a:xfrm>
          <a:off x="8668598" y="33061275"/>
          <a:ext cx="1704127" cy="1896060"/>
        </a:xfrm>
        <a:prstGeom prst="rect">
          <a:avLst/>
        </a:prstGeom>
      </xdr:spPr>
    </xdr:pic>
    <xdr:clientData/>
  </xdr:twoCellAnchor>
  <xdr:twoCellAnchor editAs="oneCell">
    <xdr:from>
      <xdr:col>14</xdr:col>
      <xdr:colOff>352425</xdr:colOff>
      <xdr:row>216</xdr:row>
      <xdr:rowOff>71408</xdr:rowOff>
    </xdr:from>
    <xdr:to>
      <xdr:col>23</xdr:col>
      <xdr:colOff>209550</xdr:colOff>
      <xdr:row>223</xdr:row>
      <xdr:rowOff>112040</xdr:rowOff>
    </xdr:to>
    <xdr:pic>
      <xdr:nvPicPr>
        <xdr:cNvPr id="38" name="Picture 37"/>
        <xdr:cNvPicPr>
          <a:picLocks noChangeAspect="1"/>
        </xdr:cNvPicPr>
      </xdr:nvPicPr>
      <xdr:blipFill>
        <a:blip xmlns:r="http://schemas.openxmlformats.org/officeDocument/2006/relationships" r:embed="rId37"/>
        <a:stretch>
          <a:fillRect/>
        </a:stretch>
      </xdr:blipFill>
      <xdr:spPr>
        <a:xfrm>
          <a:off x="8886825" y="35047208"/>
          <a:ext cx="5343525" cy="1174107"/>
        </a:xfrm>
        <a:prstGeom prst="rect">
          <a:avLst/>
        </a:prstGeom>
      </xdr:spPr>
    </xdr:pic>
    <xdr:clientData/>
  </xdr:twoCellAnchor>
  <xdr:twoCellAnchor editAs="oneCell">
    <xdr:from>
      <xdr:col>17</xdr:col>
      <xdr:colOff>304800</xdr:colOff>
      <xdr:row>204</xdr:row>
      <xdr:rowOff>140494</xdr:rowOff>
    </xdr:from>
    <xdr:to>
      <xdr:col>23</xdr:col>
      <xdr:colOff>265767</xdr:colOff>
      <xdr:row>214</xdr:row>
      <xdr:rowOff>104367</xdr:rowOff>
    </xdr:to>
    <xdr:pic>
      <xdr:nvPicPr>
        <xdr:cNvPr id="39" name="Picture 38"/>
        <xdr:cNvPicPr>
          <a:picLocks noChangeAspect="1"/>
        </xdr:cNvPicPr>
      </xdr:nvPicPr>
      <xdr:blipFill>
        <a:blip xmlns:r="http://schemas.openxmlformats.org/officeDocument/2006/relationships" r:embed="rId38"/>
        <a:stretch>
          <a:fillRect/>
        </a:stretch>
      </xdr:blipFill>
      <xdr:spPr>
        <a:xfrm>
          <a:off x="10668000" y="33173194"/>
          <a:ext cx="3618567" cy="1583123"/>
        </a:xfrm>
        <a:prstGeom prst="rect">
          <a:avLst/>
        </a:prstGeom>
      </xdr:spPr>
    </xdr:pic>
    <xdr:clientData/>
  </xdr:twoCellAnchor>
  <xdr:twoCellAnchor editAs="oneCell">
    <xdr:from>
      <xdr:col>15</xdr:col>
      <xdr:colOff>28575</xdr:colOff>
      <xdr:row>250</xdr:row>
      <xdr:rowOff>146538</xdr:rowOff>
    </xdr:from>
    <xdr:to>
      <xdr:col>22</xdr:col>
      <xdr:colOff>445771</xdr:colOff>
      <xdr:row>263</xdr:row>
      <xdr:rowOff>103936</xdr:rowOff>
    </xdr:to>
    <xdr:pic>
      <xdr:nvPicPr>
        <xdr:cNvPr id="40" name="Picture 39"/>
        <xdr:cNvPicPr>
          <a:picLocks noChangeAspect="1"/>
        </xdr:cNvPicPr>
      </xdr:nvPicPr>
      <xdr:blipFill>
        <a:blip xmlns:r="http://schemas.openxmlformats.org/officeDocument/2006/relationships" r:embed="rId39"/>
        <a:stretch>
          <a:fillRect/>
        </a:stretch>
      </xdr:blipFill>
      <xdr:spPr>
        <a:xfrm>
          <a:off x="9172575" y="40627788"/>
          <a:ext cx="4684396" cy="2062423"/>
        </a:xfrm>
        <a:prstGeom prst="rect">
          <a:avLst/>
        </a:prstGeom>
      </xdr:spPr>
    </xdr:pic>
    <xdr:clientData/>
  </xdr:twoCellAnchor>
  <xdr:twoCellAnchor editAs="oneCell">
    <xdr:from>
      <xdr:col>14</xdr:col>
      <xdr:colOff>276225</xdr:colOff>
      <xdr:row>264</xdr:row>
      <xdr:rowOff>28575</xdr:rowOff>
    </xdr:from>
    <xdr:to>
      <xdr:col>18</xdr:col>
      <xdr:colOff>16640</xdr:colOff>
      <xdr:row>278</xdr:row>
      <xdr:rowOff>38100</xdr:rowOff>
    </xdr:to>
    <xdr:pic>
      <xdr:nvPicPr>
        <xdr:cNvPr id="41" name="Picture 40"/>
        <xdr:cNvPicPr>
          <a:picLocks noChangeAspect="1"/>
        </xdr:cNvPicPr>
      </xdr:nvPicPr>
      <xdr:blipFill>
        <a:blip xmlns:r="http://schemas.openxmlformats.org/officeDocument/2006/relationships" r:embed="rId40"/>
        <a:stretch>
          <a:fillRect/>
        </a:stretch>
      </xdr:blipFill>
      <xdr:spPr>
        <a:xfrm>
          <a:off x="8810625" y="42776775"/>
          <a:ext cx="2178815" cy="2276475"/>
        </a:xfrm>
        <a:prstGeom prst="rect">
          <a:avLst/>
        </a:prstGeom>
      </xdr:spPr>
    </xdr:pic>
    <xdr:clientData/>
  </xdr:twoCellAnchor>
  <xdr:twoCellAnchor editAs="oneCell">
    <xdr:from>
      <xdr:col>14</xdr:col>
      <xdr:colOff>266699</xdr:colOff>
      <xdr:row>278</xdr:row>
      <xdr:rowOff>147492</xdr:rowOff>
    </xdr:from>
    <xdr:to>
      <xdr:col>23</xdr:col>
      <xdr:colOff>397739</xdr:colOff>
      <xdr:row>285</xdr:row>
      <xdr:rowOff>152400</xdr:rowOff>
    </xdr:to>
    <xdr:pic>
      <xdr:nvPicPr>
        <xdr:cNvPr id="42" name="Picture 41"/>
        <xdr:cNvPicPr>
          <a:picLocks noChangeAspect="1"/>
        </xdr:cNvPicPr>
      </xdr:nvPicPr>
      <xdr:blipFill>
        <a:blip xmlns:r="http://schemas.openxmlformats.org/officeDocument/2006/relationships" r:embed="rId41"/>
        <a:stretch>
          <a:fillRect/>
        </a:stretch>
      </xdr:blipFill>
      <xdr:spPr>
        <a:xfrm>
          <a:off x="8801099" y="45162642"/>
          <a:ext cx="5617440" cy="1138383"/>
        </a:xfrm>
        <a:prstGeom prst="rect">
          <a:avLst/>
        </a:prstGeom>
      </xdr:spPr>
    </xdr:pic>
    <xdr:clientData/>
  </xdr:twoCellAnchor>
  <xdr:twoCellAnchor editAs="oneCell">
    <xdr:from>
      <xdr:col>18</xdr:col>
      <xdr:colOff>142875</xdr:colOff>
      <xdr:row>266</xdr:row>
      <xdr:rowOff>4232</xdr:rowOff>
    </xdr:from>
    <xdr:to>
      <xdr:col>23</xdr:col>
      <xdr:colOff>446733</xdr:colOff>
      <xdr:row>275</xdr:row>
      <xdr:rowOff>104336</xdr:rowOff>
    </xdr:to>
    <xdr:pic>
      <xdr:nvPicPr>
        <xdr:cNvPr id="43" name="Picture 42"/>
        <xdr:cNvPicPr>
          <a:picLocks noChangeAspect="1"/>
        </xdr:cNvPicPr>
      </xdr:nvPicPr>
      <xdr:blipFill>
        <a:blip xmlns:r="http://schemas.openxmlformats.org/officeDocument/2006/relationships" r:embed="rId42"/>
        <a:stretch>
          <a:fillRect/>
        </a:stretch>
      </xdr:blipFill>
      <xdr:spPr>
        <a:xfrm>
          <a:off x="11115675" y="43076282"/>
          <a:ext cx="3351858" cy="1557429"/>
        </a:xfrm>
        <a:prstGeom prst="rect">
          <a:avLst/>
        </a:prstGeom>
      </xdr:spPr>
    </xdr:pic>
    <xdr:clientData/>
  </xdr:twoCellAnchor>
  <xdr:twoCellAnchor editAs="oneCell">
    <xdr:from>
      <xdr:col>15</xdr:col>
      <xdr:colOff>95250</xdr:colOff>
      <xdr:row>287</xdr:row>
      <xdr:rowOff>2710</xdr:rowOff>
    </xdr:from>
    <xdr:to>
      <xdr:col>23</xdr:col>
      <xdr:colOff>121914</xdr:colOff>
      <xdr:row>300</xdr:row>
      <xdr:rowOff>56308</xdr:rowOff>
    </xdr:to>
    <xdr:pic>
      <xdr:nvPicPr>
        <xdr:cNvPr id="44" name="Picture 43"/>
        <xdr:cNvPicPr>
          <a:picLocks noChangeAspect="1"/>
        </xdr:cNvPicPr>
      </xdr:nvPicPr>
      <xdr:blipFill>
        <a:blip xmlns:r="http://schemas.openxmlformats.org/officeDocument/2006/relationships" r:embed="rId43"/>
        <a:stretch>
          <a:fillRect/>
        </a:stretch>
      </xdr:blipFill>
      <xdr:spPr>
        <a:xfrm>
          <a:off x="9239250" y="46475185"/>
          <a:ext cx="4903464" cy="2158623"/>
        </a:xfrm>
        <a:prstGeom prst="rect">
          <a:avLst/>
        </a:prstGeom>
      </xdr:spPr>
    </xdr:pic>
    <xdr:clientData/>
  </xdr:twoCellAnchor>
  <xdr:twoCellAnchor editAs="oneCell">
    <xdr:from>
      <xdr:col>18</xdr:col>
      <xdr:colOff>595363</xdr:colOff>
      <xdr:row>301</xdr:row>
      <xdr:rowOff>152400</xdr:rowOff>
    </xdr:from>
    <xdr:to>
      <xdr:col>22</xdr:col>
      <xdr:colOff>466725</xdr:colOff>
      <xdr:row>313</xdr:row>
      <xdr:rowOff>129217</xdr:rowOff>
    </xdr:to>
    <xdr:pic>
      <xdr:nvPicPr>
        <xdr:cNvPr id="45" name="Picture 44"/>
        <xdr:cNvPicPr>
          <a:picLocks noChangeAspect="1"/>
        </xdr:cNvPicPr>
      </xdr:nvPicPr>
      <xdr:blipFill>
        <a:blip xmlns:r="http://schemas.openxmlformats.org/officeDocument/2006/relationships" r:embed="rId44"/>
        <a:stretch>
          <a:fillRect/>
        </a:stretch>
      </xdr:blipFill>
      <xdr:spPr>
        <a:xfrm>
          <a:off x="11568163" y="48891825"/>
          <a:ext cx="2309762" cy="1919917"/>
        </a:xfrm>
        <a:prstGeom prst="rect">
          <a:avLst/>
        </a:prstGeom>
      </xdr:spPr>
    </xdr:pic>
    <xdr:clientData/>
  </xdr:twoCellAnchor>
  <xdr:twoCellAnchor editAs="oneCell">
    <xdr:from>
      <xdr:col>13</xdr:col>
      <xdr:colOff>290325</xdr:colOff>
      <xdr:row>320</xdr:row>
      <xdr:rowOff>19050</xdr:rowOff>
    </xdr:from>
    <xdr:to>
      <xdr:col>22</xdr:col>
      <xdr:colOff>388574</xdr:colOff>
      <xdr:row>335</xdr:row>
      <xdr:rowOff>65809</xdr:rowOff>
    </xdr:to>
    <xdr:pic>
      <xdr:nvPicPr>
        <xdr:cNvPr id="46" name="Picture 45"/>
        <xdr:cNvPicPr>
          <a:picLocks noChangeAspect="1"/>
        </xdr:cNvPicPr>
      </xdr:nvPicPr>
      <xdr:blipFill>
        <a:blip xmlns:r="http://schemas.openxmlformats.org/officeDocument/2006/relationships" r:embed="rId45"/>
        <a:stretch>
          <a:fillRect/>
        </a:stretch>
      </xdr:blipFill>
      <xdr:spPr>
        <a:xfrm>
          <a:off x="8215125" y="51835050"/>
          <a:ext cx="5584649" cy="24756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80</xdr:col>
      <xdr:colOff>501900</xdr:colOff>
      <xdr:row>119</xdr:row>
      <xdr:rowOff>31715</xdr:rowOff>
    </xdr:from>
    <xdr:to>
      <xdr:col>87</xdr:col>
      <xdr:colOff>305953</xdr:colOff>
      <xdr:row>134</xdr:row>
      <xdr:rowOff>47567</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26</xdr:col>
      <xdr:colOff>285749</xdr:colOff>
      <xdr:row>8</xdr:row>
      <xdr:rowOff>129987</xdr:rowOff>
    </xdr:from>
    <xdr:to>
      <xdr:col>35</xdr:col>
      <xdr:colOff>16808</xdr:colOff>
      <xdr:row>23</xdr:row>
      <xdr:rowOff>161363</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26</xdr:col>
      <xdr:colOff>296955</xdr:colOff>
      <xdr:row>24</xdr:row>
      <xdr:rowOff>29135</xdr:rowOff>
    </xdr:from>
    <xdr:to>
      <xdr:col>35</xdr:col>
      <xdr:colOff>28014</xdr:colOff>
      <xdr:row>39</xdr:row>
      <xdr:rowOff>82923</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26</xdr:col>
      <xdr:colOff>263337</xdr:colOff>
      <xdr:row>40</xdr:row>
      <xdr:rowOff>40341</xdr:rowOff>
    </xdr:from>
    <xdr:to>
      <xdr:col>34</xdr:col>
      <xdr:colOff>532278</xdr:colOff>
      <xdr:row>55</xdr:row>
      <xdr:rowOff>82923</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26</xdr:col>
      <xdr:colOff>285749</xdr:colOff>
      <xdr:row>56</xdr:row>
      <xdr:rowOff>17929</xdr:rowOff>
    </xdr:from>
    <xdr:to>
      <xdr:col>35</xdr:col>
      <xdr:colOff>16808</xdr:colOff>
      <xdr:row>71</xdr:row>
      <xdr:rowOff>49306</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26</xdr:col>
      <xdr:colOff>296955</xdr:colOff>
      <xdr:row>72</xdr:row>
      <xdr:rowOff>62753</xdr:rowOff>
    </xdr:from>
    <xdr:to>
      <xdr:col>35</xdr:col>
      <xdr:colOff>28014</xdr:colOff>
      <xdr:row>87</xdr:row>
      <xdr:rowOff>94129</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26</xdr:col>
      <xdr:colOff>308161</xdr:colOff>
      <xdr:row>88</xdr:row>
      <xdr:rowOff>85165</xdr:rowOff>
    </xdr:from>
    <xdr:to>
      <xdr:col>35</xdr:col>
      <xdr:colOff>39220</xdr:colOff>
      <xdr:row>103</xdr:row>
      <xdr:rowOff>127747</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26</xdr:col>
      <xdr:colOff>352985</xdr:colOff>
      <xdr:row>105</xdr:row>
      <xdr:rowOff>17928</xdr:rowOff>
    </xdr:from>
    <xdr:to>
      <xdr:col>35</xdr:col>
      <xdr:colOff>84044</xdr:colOff>
      <xdr:row>120</xdr:row>
      <xdr:rowOff>49305</xdr:rowOff>
    </xdr:to>
    <xdr:graphicFrame macro="">
      <xdr:nvGraphicFramePr>
        <xdr:cNvPr id="10" name="Chart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26</xdr:col>
      <xdr:colOff>325133</xdr:colOff>
      <xdr:row>121</xdr:row>
      <xdr:rowOff>157110</xdr:rowOff>
    </xdr:from>
    <xdr:to>
      <xdr:col>35</xdr:col>
      <xdr:colOff>96532</xdr:colOff>
      <xdr:row>136</xdr:row>
      <xdr:rowOff>42810</xdr:rowOff>
    </xdr:to>
    <xdr:graphicFrame macro="">
      <xdr:nvGraphicFramePr>
        <xdr:cNvPr id="11" name="Chart 1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26</xdr:col>
      <xdr:colOff>233794</xdr:colOff>
      <xdr:row>145</xdr:row>
      <xdr:rowOff>169719</xdr:rowOff>
    </xdr:from>
    <xdr:to>
      <xdr:col>34</xdr:col>
      <xdr:colOff>510884</xdr:colOff>
      <xdr:row>161</xdr:row>
      <xdr:rowOff>3464</xdr:rowOff>
    </xdr:to>
    <xdr:graphicFrame macro="">
      <xdr:nvGraphicFramePr>
        <xdr:cNvPr id="12" name="Chart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39</xdr:col>
      <xdr:colOff>424295</xdr:colOff>
      <xdr:row>71</xdr:row>
      <xdr:rowOff>117763</xdr:rowOff>
    </xdr:from>
    <xdr:to>
      <xdr:col>48</xdr:col>
      <xdr:colOff>164522</xdr:colOff>
      <xdr:row>87</xdr:row>
      <xdr:rowOff>55418</xdr:rowOff>
    </xdr:to>
    <xdr:graphicFrame macro="">
      <xdr:nvGraphicFramePr>
        <xdr:cNvPr id="13" name="Chart 1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39</xdr:col>
      <xdr:colOff>432955</xdr:colOff>
      <xdr:row>88</xdr:row>
      <xdr:rowOff>17318</xdr:rowOff>
    </xdr:from>
    <xdr:to>
      <xdr:col>48</xdr:col>
      <xdr:colOff>173182</xdr:colOff>
      <xdr:row>103</xdr:row>
      <xdr:rowOff>145473</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39</xdr:col>
      <xdr:colOff>502227</xdr:colOff>
      <xdr:row>105</xdr:row>
      <xdr:rowOff>0</xdr:rowOff>
    </xdr:from>
    <xdr:to>
      <xdr:col>48</xdr:col>
      <xdr:colOff>242454</xdr:colOff>
      <xdr:row>120</xdr:row>
      <xdr:rowOff>110836</xdr:rowOff>
    </xdr:to>
    <xdr:graphicFrame macro="">
      <xdr:nvGraphicFramePr>
        <xdr:cNvPr id="17" name="Chart 1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39</xdr:col>
      <xdr:colOff>484909</xdr:colOff>
      <xdr:row>121</xdr:row>
      <xdr:rowOff>103909</xdr:rowOff>
    </xdr:from>
    <xdr:to>
      <xdr:col>48</xdr:col>
      <xdr:colOff>225136</xdr:colOff>
      <xdr:row>137</xdr:row>
      <xdr:rowOff>76200</xdr:rowOff>
    </xdr:to>
    <xdr:graphicFrame macro="">
      <xdr:nvGraphicFramePr>
        <xdr:cNvPr id="19" name="Chart 1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40</xdr:col>
      <xdr:colOff>0</xdr:colOff>
      <xdr:row>145</xdr:row>
      <xdr:rowOff>0</xdr:rowOff>
    </xdr:from>
    <xdr:to>
      <xdr:col>48</xdr:col>
      <xdr:colOff>277091</xdr:colOff>
      <xdr:row>160</xdr:row>
      <xdr:rowOff>6927</xdr:rowOff>
    </xdr:to>
    <xdr:graphicFrame macro="">
      <xdr:nvGraphicFramePr>
        <xdr:cNvPr id="21" name="Chart 2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51</xdr:col>
      <xdr:colOff>0</xdr:colOff>
      <xdr:row>72</xdr:row>
      <xdr:rowOff>0</xdr:rowOff>
    </xdr:from>
    <xdr:to>
      <xdr:col>59</xdr:col>
      <xdr:colOff>277091</xdr:colOff>
      <xdr:row>87</xdr:row>
      <xdr:rowOff>119496</xdr:rowOff>
    </xdr:to>
    <xdr:graphicFrame macro="">
      <xdr:nvGraphicFramePr>
        <xdr:cNvPr id="23" name="Chart 2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51</xdr:col>
      <xdr:colOff>0</xdr:colOff>
      <xdr:row>89</xdr:row>
      <xdr:rowOff>0</xdr:rowOff>
    </xdr:from>
    <xdr:to>
      <xdr:col>59</xdr:col>
      <xdr:colOff>277091</xdr:colOff>
      <xdr:row>104</xdr:row>
      <xdr:rowOff>128155</xdr:rowOff>
    </xdr:to>
    <xdr:graphicFrame macro="">
      <xdr:nvGraphicFramePr>
        <xdr:cNvPr id="26" name="Chart 2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51</xdr:col>
      <xdr:colOff>0</xdr:colOff>
      <xdr:row>106</xdr:row>
      <xdr:rowOff>0</xdr:rowOff>
    </xdr:from>
    <xdr:to>
      <xdr:col>59</xdr:col>
      <xdr:colOff>277091</xdr:colOff>
      <xdr:row>121</xdr:row>
      <xdr:rowOff>119497</xdr:rowOff>
    </xdr:to>
    <xdr:graphicFrame macro="">
      <xdr:nvGraphicFramePr>
        <xdr:cNvPr id="28" name="Chart 2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50</xdr:col>
      <xdr:colOff>311728</xdr:colOff>
      <xdr:row>144</xdr:row>
      <xdr:rowOff>173182</xdr:rowOff>
    </xdr:from>
    <xdr:to>
      <xdr:col>59</xdr:col>
      <xdr:colOff>51955</xdr:colOff>
      <xdr:row>160</xdr:row>
      <xdr:rowOff>41564</xdr:rowOff>
    </xdr:to>
    <xdr:graphicFrame macro="">
      <xdr:nvGraphicFramePr>
        <xdr:cNvPr id="30" name="Chart 2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51</xdr:col>
      <xdr:colOff>0</xdr:colOff>
      <xdr:row>126</xdr:row>
      <xdr:rowOff>0</xdr:rowOff>
    </xdr:from>
    <xdr:to>
      <xdr:col>59</xdr:col>
      <xdr:colOff>277091</xdr:colOff>
      <xdr:row>141</xdr:row>
      <xdr:rowOff>138546</xdr:rowOff>
    </xdr:to>
    <xdr:graphicFrame macro="">
      <xdr:nvGraphicFramePr>
        <xdr:cNvPr id="24" name="Chart 2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uklonres006\shared\Synapse\Inflation%20Data\Inflation%20Rates%20and%20Risk%20Premia.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E03490\AppData\Local\Microsoft\Windows\INetCache\Content.Outlook\0F70Z0DN\DSM%20Nutrition.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E03490/My%20Documents/Alternative%20protiens%20project/Peresentation%20work/DSM%20Modelling%20(Autosaved)%201%20-%20LONDON%20BRIDG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CPI Dump A"/>
      <sheetName val="12M Annualised Cons"/>
      <sheetName val="5Y CPI +2.25%"/>
      <sheetName val="ERP"/>
      <sheetName val="Sheet2"/>
      <sheetName val="Sheet3"/>
    </sheetNames>
    <sheetDataSet>
      <sheetData sheetId="0">
        <row r="2">
          <cell r="B2" t="str">
            <v>42277AED</v>
          </cell>
          <cell r="C2" t="str">
            <v>42277U. A. E.</v>
          </cell>
          <cell r="D2" t="str">
            <v>AED</v>
          </cell>
          <cell r="E2">
            <v>5.299649493533968</v>
          </cell>
          <cell r="F2">
            <v>1.4774282000000001</v>
          </cell>
          <cell r="G2" t="str">
            <v>U. A. E.</v>
          </cell>
          <cell r="H2">
            <v>5</v>
          </cell>
        </row>
        <row r="3">
          <cell r="B3" t="str">
            <v>42277ARS</v>
          </cell>
          <cell r="C3" t="str">
            <v>42277ARGENTINA</v>
          </cell>
          <cell r="D3" t="str">
            <v>ARS</v>
          </cell>
          <cell r="E3">
            <v>25.118245172144984</v>
          </cell>
          <cell r="F3">
            <v>23.634888</v>
          </cell>
          <cell r="G3" t="str">
            <v>ARGENTINA</v>
          </cell>
          <cell r="H3">
            <v>5</v>
          </cell>
        </row>
        <row r="4">
          <cell r="B4" t="str">
            <v>42277AUD</v>
          </cell>
          <cell r="C4" t="str">
            <v>42277AUSTRALIA</v>
          </cell>
          <cell r="D4" t="str">
            <v>AUD</v>
          </cell>
          <cell r="E4">
            <v>4.611220469902281</v>
          </cell>
          <cell r="F4">
            <v>2.3669685999999999</v>
          </cell>
          <cell r="G4" t="str">
            <v>AUSTRALIA</v>
          </cell>
          <cell r="H4">
            <v>4.6374300560304293</v>
          </cell>
        </row>
        <row r="5">
          <cell r="B5" t="str">
            <v>42277BDT</v>
          </cell>
          <cell r="C5" t="str">
            <v>42277BANGLADESH</v>
          </cell>
          <cell r="D5" t="str">
            <v>BDT</v>
          </cell>
          <cell r="E5">
            <v>8.8206939891289515</v>
          </cell>
          <cell r="F5">
            <v>6.125</v>
          </cell>
          <cell r="G5" t="str">
            <v>BANGLADESH</v>
          </cell>
          <cell r="H5">
            <v>5</v>
          </cell>
        </row>
        <row r="6">
          <cell r="B6" t="str">
            <v>42277BRL</v>
          </cell>
          <cell r="C6" t="str">
            <v>42277BRAZIL</v>
          </cell>
          <cell r="D6" t="str">
            <v>BRL</v>
          </cell>
          <cell r="E6">
            <v>8.2780214549920608</v>
          </cell>
          <cell r="F6">
            <v>6.6539507000000002</v>
          </cell>
          <cell r="G6" t="str">
            <v>BRAZIL</v>
          </cell>
          <cell r="H6">
            <v>5</v>
          </cell>
        </row>
        <row r="7">
          <cell r="B7" t="str">
            <v>42277BWP</v>
          </cell>
          <cell r="C7" t="str">
            <v>42277BOTSWANA</v>
          </cell>
          <cell r="D7" t="str">
            <v>BWP</v>
          </cell>
          <cell r="E7">
            <v>6.5670893390217957</v>
          </cell>
          <cell r="F7">
            <v>4.2702500000000008</v>
          </cell>
          <cell r="G7" t="str">
            <v>BOTSWANA</v>
          </cell>
          <cell r="H7">
            <v>5</v>
          </cell>
        </row>
        <row r="8">
          <cell r="B8" t="str">
            <v>42277CAD</v>
          </cell>
          <cell r="C8" t="str">
            <v>42277CANADA</v>
          </cell>
          <cell r="D8" t="str">
            <v>CAD</v>
          </cell>
          <cell r="E8">
            <v>4.0912501559647687</v>
          </cell>
          <cell r="F8">
            <v>1.7900335000000001</v>
          </cell>
          <cell r="G8" t="str">
            <v>CANADA</v>
          </cell>
          <cell r="H8">
            <v>5</v>
          </cell>
        </row>
        <row r="9">
          <cell r="B9" t="str">
            <v>42277CHF</v>
          </cell>
          <cell r="C9" t="str">
            <v>42277SWITZERLAND</v>
          </cell>
          <cell r="D9" t="str">
            <v>CHF</v>
          </cell>
          <cell r="E9">
            <v>2.4217635718133215</v>
          </cell>
          <cell r="F9">
            <v>-0.34664279999999997</v>
          </cell>
          <cell r="G9" t="str">
            <v>SWITZERLAND</v>
          </cell>
          <cell r="H9">
            <v>5</v>
          </cell>
        </row>
        <row r="10">
          <cell r="B10" t="str">
            <v>42277CLP</v>
          </cell>
          <cell r="C10" t="str">
            <v>42277CHILE</v>
          </cell>
          <cell r="D10" t="str">
            <v>CLP</v>
          </cell>
          <cell r="E10">
            <v>5.6565771708428505</v>
          </cell>
          <cell r="F10">
            <v>3.6081504999999998</v>
          </cell>
          <cell r="G10" t="str">
            <v>CHILE</v>
          </cell>
          <cell r="H10">
            <v>5</v>
          </cell>
        </row>
        <row r="11">
          <cell r="B11" t="str">
            <v>42277CNY</v>
          </cell>
          <cell r="C11" t="str">
            <v>42277CHINA</v>
          </cell>
          <cell r="D11" t="str">
            <v>CNY</v>
          </cell>
          <cell r="E11">
            <v>4.4486505259327105</v>
          </cell>
          <cell r="F11">
            <v>1.9044515</v>
          </cell>
          <cell r="G11" t="str">
            <v>CHINA</v>
          </cell>
          <cell r="H11">
            <v>5</v>
          </cell>
        </row>
        <row r="12">
          <cell r="B12" t="str">
            <v>42277COP</v>
          </cell>
          <cell r="C12" t="str">
            <v>42277COLOMBIA</v>
          </cell>
          <cell r="D12" t="str">
            <v>COP</v>
          </cell>
          <cell r="E12">
            <v>5.6625849671774899</v>
          </cell>
          <cell r="F12">
            <v>3.626668</v>
          </cell>
          <cell r="G12" t="str">
            <v>COLOMBIA</v>
          </cell>
          <cell r="H12">
            <v>5</v>
          </cell>
        </row>
        <row r="13">
          <cell r="B13" t="str">
            <v>42277CZK</v>
          </cell>
          <cell r="C13" t="str">
            <v>42277CZECH REPUBLIC</v>
          </cell>
          <cell r="D13" t="str">
            <v>CZK</v>
          </cell>
          <cell r="E13">
            <v>3.817219939843234</v>
          </cell>
          <cell r="F13">
            <v>1.3585463</v>
          </cell>
          <cell r="G13" t="str">
            <v>CZECH REPUBLIC</v>
          </cell>
          <cell r="H13">
            <v>5</v>
          </cell>
        </row>
        <row r="14">
          <cell r="B14" t="str">
            <v>42277DKK</v>
          </cell>
          <cell r="C14" t="str">
            <v>42277DENMARK</v>
          </cell>
          <cell r="D14" t="str">
            <v>DKK</v>
          </cell>
          <cell r="E14">
            <v>3.9083065897722626</v>
          </cell>
          <cell r="F14">
            <v>1.3348496999999999</v>
          </cell>
          <cell r="G14" t="str">
            <v>DENMARK</v>
          </cell>
          <cell r="H14">
            <v>5</v>
          </cell>
        </row>
        <row r="15">
          <cell r="B15" t="str">
            <v>42277EGP</v>
          </cell>
          <cell r="C15" t="str">
            <v>42277EGYPT</v>
          </cell>
          <cell r="D15" t="str">
            <v>EGP</v>
          </cell>
          <cell r="E15">
            <v>11.585875407778161</v>
          </cell>
          <cell r="F15">
            <v>9.7321570000000008</v>
          </cell>
          <cell r="G15" t="str">
            <v>EGYPT</v>
          </cell>
          <cell r="H15">
            <v>5</v>
          </cell>
        </row>
        <row r="16">
          <cell r="B16" t="str">
            <v>42277EUR</v>
          </cell>
          <cell r="C16" t="str">
            <v>42277AUSTRIA</v>
          </cell>
          <cell r="D16" t="str">
            <v>EUR</v>
          </cell>
          <cell r="E16">
            <v>3.3352315657809752</v>
          </cell>
          <cell r="F16">
            <v>0.91207835000000004</v>
          </cell>
          <cell r="G16" t="str">
            <v>AUSTRIA</v>
          </cell>
          <cell r="H16">
            <v>5</v>
          </cell>
        </row>
        <row r="17">
          <cell r="B17" t="str">
            <v>42277GBP</v>
          </cell>
          <cell r="C17" t="str">
            <v>42277UNITED KINGDOM</v>
          </cell>
          <cell r="D17" t="str">
            <v>GBP</v>
          </cell>
          <cell r="E17">
            <v>3.7602072721388859</v>
          </cell>
          <cell r="F17">
            <v>1.0794636</v>
          </cell>
          <cell r="G17" t="str">
            <v>UNITED KINGDOM</v>
          </cell>
          <cell r="H17">
            <v>5</v>
          </cell>
        </row>
        <row r="18">
          <cell r="B18" t="str">
            <v>42277HKD</v>
          </cell>
          <cell r="C18" t="str">
            <v>42277HONG KONG</v>
          </cell>
          <cell r="D18" t="str">
            <v>HKD</v>
          </cell>
          <cell r="E18">
            <v>5.3698565407867473</v>
          </cell>
          <cell r="F18">
            <v>1.4774282000000001</v>
          </cell>
          <cell r="G18" t="str">
            <v>HONG KONG</v>
          </cell>
          <cell r="H18">
            <v>3.5787939851459631</v>
          </cell>
        </row>
        <row r="19">
          <cell r="B19" t="str">
            <v>42277HUF</v>
          </cell>
          <cell r="C19" t="str">
            <v>42277HUNGARY</v>
          </cell>
          <cell r="D19" t="str">
            <v>HUF</v>
          </cell>
          <cell r="E19">
            <v>4.550240991131286</v>
          </cell>
          <cell r="F19">
            <v>1.8111461</v>
          </cell>
          <cell r="G19" t="str">
            <v>HUNGARY</v>
          </cell>
          <cell r="H19">
            <v>5</v>
          </cell>
        </row>
        <row r="20">
          <cell r="B20" t="str">
            <v>42277IDR</v>
          </cell>
          <cell r="C20" t="str">
            <v>42277INDONESIA</v>
          </cell>
          <cell r="D20" t="str">
            <v>IDR</v>
          </cell>
          <cell r="E20">
            <v>7.3853914869320505</v>
          </cell>
          <cell r="F20">
            <v>5.4304123000000004</v>
          </cell>
          <cell r="G20" t="str">
            <v>INDONESIA</v>
          </cell>
          <cell r="H20">
            <v>5</v>
          </cell>
        </row>
        <row r="21">
          <cell r="B21" t="str">
            <v>42277ILS</v>
          </cell>
          <cell r="C21" t="str">
            <v>42277ISRAEL</v>
          </cell>
          <cell r="D21" t="str">
            <v>ILS</v>
          </cell>
          <cell r="E21">
            <v>3.8364586503774758</v>
          </cell>
          <cell r="F21">
            <v>1.0672223999999999</v>
          </cell>
          <cell r="G21" t="str">
            <v>ISRAEL</v>
          </cell>
          <cell r="H21">
            <v>4</v>
          </cell>
        </row>
        <row r="22">
          <cell r="B22" t="str">
            <v>42277INR</v>
          </cell>
          <cell r="C22" t="str">
            <v>42277INDIA</v>
          </cell>
          <cell r="D22" t="str">
            <v>INR</v>
          </cell>
          <cell r="E22">
            <v>7.5053317444017811</v>
          </cell>
          <cell r="F22">
            <v>5.3378525000000003</v>
          </cell>
          <cell r="G22" t="str">
            <v>INDIA</v>
          </cell>
          <cell r="H22">
            <v>5</v>
          </cell>
        </row>
        <row r="23">
          <cell r="B23" t="str">
            <v>42277IQD</v>
          </cell>
          <cell r="C23" t="str">
            <v>42277IRAQ</v>
          </cell>
          <cell r="D23" t="str">
            <v>IQD</v>
          </cell>
          <cell r="E23">
            <v>5.0242122627077093</v>
          </cell>
          <cell r="F23">
            <v>2.7189999999999999</v>
          </cell>
          <cell r="G23" t="str">
            <v>IRAQ</v>
          </cell>
          <cell r="H23">
            <v>5</v>
          </cell>
        </row>
        <row r="24">
          <cell r="B24" t="str">
            <v>42277JPY</v>
          </cell>
          <cell r="C24" t="str">
            <v>42277JAPAN</v>
          </cell>
          <cell r="D24" t="str">
            <v>JPY</v>
          </cell>
          <cell r="E24">
            <v>3.2542629597647235</v>
          </cell>
          <cell r="F24">
            <v>0.78242710000000004</v>
          </cell>
          <cell r="G24" t="str">
            <v>JAPAN</v>
          </cell>
          <cell r="H24">
            <v>5</v>
          </cell>
        </row>
        <row r="25">
          <cell r="B25" t="str">
            <v>42277KES</v>
          </cell>
          <cell r="C25" t="str">
            <v>42277KENYA</v>
          </cell>
          <cell r="D25" t="str">
            <v>KES</v>
          </cell>
          <cell r="E25">
            <v>7.7105698935640046</v>
          </cell>
          <cell r="F25">
            <v>6.5</v>
          </cell>
          <cell r="G25" t="str">
            <v>KENYA</v>
          </cell>
          <cell r="H25">
            <v>5</v>
          </cell>
        </row>
        <row r="26">
          <cell r="B26" t="str">
            <v>42277KRW</v>
          </cell>
          <cell r="C26" t="str">
            <v>42277KOREA SOUTH(REPUBLIC OF KOREA)</v>
          </cell>
          <cell r="D26" t="str">
            <v>KRW</v>
          </cell>
          <cell r="E26">
            <v>4.5454409262545772</v>
          </cell>
          <cell r="F26">
            <v>1.573105</v>
          </cell>
          <cell r="G26" t="str">
            <v>KOREA SOUTH(REPUBLIC OF KOREA)</v>
          </cell>
          <cell r="H26">
            <v>5</v>
          </cell>
        </row>
        <row r="27">
          <cell r="B27" t="str">
            <v>42277KWD</v>
          </cell>
          <cell r="C27" t="str">
            <v>42277KUWAIT</v>
          </cell>
          <cell r="D27" t="str">
            <v>KWD</v>
          </cell>
          <cell r="E27">
            <v>5.669953575332535</v>
          </cell>
          <cell r="F27">
            <v>3.5</v>
          </cell>
          <cell r="G27" t="str">
            <v>KUWAIT</v>
          </cell>
          <cell r="H27">
            <v>5</v>
          </cell>
        </row>
        <row r="28">
          <cell r="B28" t="str">
            <v>42277KZT</v>
          </cell>
          <cell r="C28" t="str">
            <v>42277KAZAKHSTAN</v>
          </cell>
          <cell r="D28" t="str">
            <v>KZT</v>
          </cell>
          <cell r="E28">
            <v>9.3990001723787842</v>
          </cell>
          <cell r="F28">
            <v>8.0002500000000012</v>
          </cell>
          <cell r="G28" t="str">
            <v>KAZAKHSTAN</v>
          </cell>
          <cell r="H28">
            <v>5</v>
          </cell>
        </row>
        <row r="29">
          <cell r="B29" t="str">
            <v>42277LKR</v>
          </cell>
          <cell r="C29" t="str">
            <v>42277SRI LANKA</v>
          </cell>
          <cell r="D29" t="str">
            <v>LKR</v>
          </cell>
          <cell r="E29">
            <v>6.1325860123118838</v>
          </cell>
          <cell r="F29">
            <v>3.8500000999999999</v>
          </cell>
          <cell r="G29" t="str">
            <v>SRI LANKA</v>
          </cell>
          <cell r="H29">
            <v>5</v>
          </cell>
        </row>
        <row r="30">
          <cell r="B30" t="str">
            <v>42277MAD</v>
          </cell>
          <cell r="C30" t="str">
            <v>42277MOROCCO</v>
          </cell>
          <cell r="D30" t="str">
            <v>MAD</v>
          </cell>
          <cell r="E30">
            <v>4.1498033428810901</v>
          </cell>
          <cell r="F30">
            <v>1.5</v>
          </cell>
          <cell r="G30" t="str">
            <v>MOROCCO</v>
          </cell>
          <cell r="H30">
            <v>5</v>
          </cell>
        </row>
        <row r="31">
          <cell r="B31" t="str">
            <v>42277MXN</v>
          </cell>
          <cell r="C31" t="str">
            <v>42277MEXICO</v>
          </cell>
          <cell r="D31" t="str">
            <v>MXN</v>
          </cell>
          <cell r="E31">
            <v>5.2083704891747997</v>
          </cell>
          <cell r="F31">
            <v>3.2823699</v>
          </cell>
          <cell r="G31" t="str">
            <v>MEXICO</v>
          </cell>
          <cell r="H31">
            <v>5</v>
          </cell>
        </row>
        <row r="32">
          <cell r="B32" t="str">
            <v>42277MYR</v>
          </cell>
          <cell r="C32" t="str">
            <v>42277MALAYSIA</v>
          </cell>
          <cell r="D32" t="str">
            <v>MYR</v>
          </cell>
          <cell r="E32">
            <v>5.289038357842605</v>
          </cell>
          <cell r="F32">
            <v>2.6483675999999998</v>
          </cell>
          <cell r="G32" t="str">
            <v>MALAYSIA</v>
          </cell>
          <cell r="H32">
            <v>5</v>
          </cell>
        </row>
        <row r="33">
          <cell r="B33" t="str">
            <v>42277NGN</v>
          </cell>
          <cell r="C33" t="str">
            <v>42277NIGERIA</v>
          </cell>
          <cell r="D33" t="str">
            <v>NGN</v>
          </cell>
          <cell r="E33">
            <v>10.77140503526706</v>
          </cell>
          <cell r="F33">
            <v>9.7945630000000001</v>
          </cell>
          <cell r="G33" t="str">
            <v>NIGERIA</v>
          </cell>
          <cell r="H33">
            <v>5</v>
          </cell>
        </row>
        <row r="34">
          <cell r="B34" t="str">
            <v>42277NOK</v>
          </cell>
          <cell r="C34" t="str">
            <v>42277NORWAY</v>
          </cell>
          <cell r="D34" t="str">
            <v>NOK</v>
          </cell>
          <cell r="E34">
            <v>4.5999267458624518</v>
          </cell>
          <cell r="F34">
            <v>2.1931232999999999</v>
          </cell>
          <cell r="G34" t="str">
            <v>NORWAY</v>
          </cell>
          <cell r="H34">
            <v>5</v>
          </cell>
        </row>
        <row r="35">
          <cell r="B35" t="str">
            <v>42277NZD</v>
          </cell>
          <cell r="C35" t="str">
            <v>42277NEW ZEALAND</v>
          </cell>
          <cell r="D35" t="str">
            <v>NZD</v>
          </cell>
          <cell r="E35">
            <v>3.7956002733151841</v>
          </cell>
          <cell r="F35">
            <v>1.5242499</v>
          </cell>
          <cell r="G35" t="str">
            <v>NEW ZEALAND</v>
          </cell>
          <cell r="H35">
            <v>5.4530502526175262</v>
          </cell>
        </row>
        <row r="36">
          <cell r="B36" t="str">
            <v>42277OMR</v>
          </cell>
          <cell r="C36" t="str">
            <v>42277OMAN</v>
          </cell>
          <cell r="D36" t="str">
            <v>OMR</v>
          </cell>
          <cell r="E36">
            <v>4.4482255110273519</v>
          </cell>
          <cell r="F36">
            <v>1.4774282000000001</v>
          </cell>
          <cell r="G36" t="str">
            <v>OMAN</v>
          </cell>
          <cell r="H36">
            <v>5</v>
          </cell>
        </row>
        <row r="37">
          <cell r="B37" t="str">
            <v>42277PEN</v>
          </cell>
          <cell r="C37" t="str">
            <v>42277PERU</v>
          </cell>
          <cell r="D37" t="str">
            <v>PEN</v>
          </cell>
          <cell r="E37">
            <v>4.6692131877545764</v>
          </cell>
          <cell r="F37">
            <v>3.3051976999999999</v>
          </cell>
          <cell r="G37" t="str">
            <v>PERU</v>
          </cell>
          <cell r="H37">
            <v>5</v>
          </cell>
        </row>
        <row r="38">
          <cell r="B38" t="str">
            <v>42277PHP</v>
          </cell>
          <cell r="C38" t="str">
            <v>42277PHILIPPINES</v>
          </cell>
          <cell r="D38" t="str">
            <v>PHP</v>
          </cell>
          <cell r="E38">
            <v>5.3904633216530087</v>
          </cell>
          <cell r="F38">
            <v>2.9022450000000002</v>
          </cell>
          <cell r="G38" t="str">
            <v>PHILIPPINES</v>
          </cell>
          <cell r="H38">
            <v>5</v>
          </cell>
        </row>
        <row r="39">
          <cell r="B39" t="str">
            <v>42277PKR</v>
          </cell>
          <cell r="C39" t="str">
            <v>42277PAKISTAN</v>
          </cell>
          <cell r="D39" t="str">
            <v>PKR</v>
          </cell>
          <cell r="E39">
            <v>7.1962804265149263</v>
          </cell>
          <cell r="F39">
            <v>5.1749999999999998</v>
          </cell>
          <cell r="G39" t="str">
            <v>PAKISTAN</v>
          </cell>
          <cell r="H39">
            <v>5</v>
          </cell>
        </row>
        <row r="40">
          <cell r="B40" t="str">
            <v>42277PLN</v>
          </cell>
          <cell r="C40" t="str">
            <v>42277POLAND</v>
          </cell>
          <cell r="D40" t="str">
            <v>PLN</v>
          </cell>
          <cell r="E40">
            <v>3.6358132610942375</v>
          </cell>
          <cell r="F40">
            <v>0.96779539999999997</v>
          </cell>
          <cell r="G40" t="str">
            <v>POLAND</v>
          </cell>
          <cell r="H40">
            <v>5</v>
          </cell>
        </row>
        <row r="41">
          <cell r="B41" t="str">
            <v>42277QAR</v>
          </cell>
          <cell r="C41" t="str">
            <v>42277QATAR</v>
          </cell>
          <cell r="D41" t="str">
            <v>QAR</v>
          </cell>
          <cell r="E41">
            <v>4.6723623927241977</v>
          </cell>
          <cell r="F41">
            <v>1.4774282000000001</v>
          </cell>
          <cell r="G41" t="str">
            <v>QATAR</v>
          </cell>
          <cell r="H41">
            <v>5</v>
          </cell>
        </row>
        <row r="42">
          <cell r="B42" t="str">
            <v>42277RON</v>
          </cell>
          <cell r="C42" t="str">
            <v>42277ROMANIA</v>
          </cell>
          <cell r="D42" t="str">
            <v>RON</v>
          </cell>
          <cell r="E42">
            <v>3.6204488094398837</v>
          </cell>
          <cell r="F42">
            <v>0.11320348</v>
          </cell>
          <cell r="G42" t="str">
            <v>ROMANIA</v>
          </cell>
          <cell r="H42">
            <v>5</v>
          </cell>
        </row>
        <row r="43">
          <cell r="B43" t="str">
            <v>42277RUB</v>
          </cell>
          <cell r="C43" t="str">
            <v>42277RUSSIAN FEDERATION</v>
          </cell>
          <cell r="D43" t="str">
            <v>RUB</v>
          </cell>
          <cell r="E43">
            <v>10.306426910337745</v>
          </cell>
          <cell r="F43">
            <v>8.6805935000000005</v>
          </cell>
          <cell r="G43" t="str">
            <v>RUSSIAN FEDERATION</v>
          </cell>
          <cell r="H43">
            <v>5</v>
          </cell>
        </row>
        <row r="44">
          <cell r="B44" t="str">
            <v>42277SAR</v>
          </cell>
          <cell r="C44" t="str">
            <v>42277SAUDI ARABIA</v>
          </cell>
          <cell r="D44" t="str">
            <v>SAR</v>
          </cell>
          <cell r="E44">
            <v>4.8683054536228267</v>
          </cell>
          <cell r="F44">
            <v>1.4774282000000001</v>
          </cell>
          <cell r="G44" t="str">
            <v>SAUDI ARABIA</v>
          </cell>
          <cell r="H44">
            <v>5</v>
          </cell>
        </row>
        <row r="45">
          <cell r="B45" t="str">
            <v>42277SEK</v>
          </cell>
          <cell r="C45" t="str">
            <v>42277SWEDEN</v>
          </cell>
          <cell r="D45" t="str">
            <v>SEK</v>
          </cell>
          <cell r="E45">
            <v>3.6829027147684803</v>
          </cell>
          <cell r="F45">
            <v>0.97437775000000004</v>
          </cell>
          <cell r="G45" t="str">
            <v>SWEDEN</v>
          </cell>
          <cell r="H45">
            <v>5</v>
          </cell>
        </row>
        <row r="46">
          <cell r="B46" t="str">
            <v>42277SGD</v>
          </cell>
          <cell r="C46" t="str">
            <v>42277SINGAPORE</v>
          </cell>
          <cell r="D46" t="str">
            <v>SGD</v>
          </cell>
          <cell r="E46">
            <v>3.7507255815726817</v>
          </cell>
          <cell r="F46">
            <v>0.76603359999999998</v>
          </cell>
          <cell r="G46" t="str">
            <v>SINGAPORE</v>
          </cell>
          <cell r="H46">
            <v>5</v>
          </cell>
        </row>
        <row r="47">
          <cell r="B47" t="str">
            <v>42277THB</v>
          </cell>
          <cell r="C47" t="str">
            <v>42277THAILAND</v>
          </cell>
          <cell r="D47" t="str">
            <v>THB</v>
          </cell>
          <cell r="E47">
            <v>3.6830237157572867</v>
          </cell>
          <cell r="F47">
            <v>1.2309375</v>
          </cell>
          <cell r="G47" t="str">
            <v>THAILAND</v>
          </cell>
          <cell r="H47">
            <v>6.0677018658153949</v>
          </cell>
        </row>
        <row r="48">
          <cell r="B48" t="str">
            <v>42277TRY</v>
          </cell>
          <cell r="C48" t="str">
            <v>42277TURKEY</v>
          </cell>
          <cell r="D48" t="str">
            <v>TRY</v>
          </cell>
          <cell r="E48">
            <v>9.0323375381532269</v>
          </cell>
          <cell r="F48">
            <v>7.1439760000000003</v>
          </cell>
          <cell r="G48" t="str">
            <v>TURKEY</v>
          </cell>
          <cell r="H48">
            <v>5</v>
          </cell>
        </row>
        <row r="49">
          <cell r="B49" t="str">
            <v>42277TWD</v>
          </cell>
          <cell r="C49" t="str">
            <v>42277TAIWAN</v>
          </cell>
          <cell r="D49" t="str">
            <v>TWD</v>
          </cell>
          <cell r="E49">
            <v>3.3478746216391944</v>
          </cell>
          <cell r="F49">
            <v>0.94476749999999998</v>
          </cell>
          <cell r="G49" t="str">
            <v>TAIWAN</v>
          </cell>
          <cell r="H49">
            <v>5</v>
          </cell>
        </row>
        <row r="50">
          <cell r="B50" t="str">
            <v>42277UAH</v>
          </cell>
          <cell r="C50" t="str">
            <v>42277UKRAINE</v>
          </cell>
          <cell r="D50" t="str">
            <v>UAH</v>
          </cell>
          <cell r="E50">
            <v>18.394039059892677</v>
          </cell>
          <cell r="F50">
            <v>25.906745999999998</v>
          </cell>
          <cell r="G50" t="str">
            <v>UKRAINE</v>
          </cell>
          <cell r="H50">
            <v>5</v>
          </cell>
        </row>
        <row r="51">
          <cell r="B51" t="str">
            <v>42277USD</v>
          </cell>
          <cell r="C51" t="str">
            <v>42277ECUADOR</v>
          </cell>
          <cell r="D51" t="str">
            <v>USD</v>
          </cell>
          <cell r="E51">
            <v>3.7543520469065319</v>
          </cell>
          <cell r="F51">
            <v>1.4774282000000001</v>
          </cell>
          <cell r="G51" t="str">
            <v>ECUADOR</v>
          </cell>
          <cell r="H51">
            <v>5</v>
          </cell>
        </row>
        <row r="52">
          <cell r="B52" t="str">
            <v>42277VND</v>
          </cell>
          <cell r="C52" t="str">
            <v>42277VIET NAM</v>
          </cell>
          <cell r="D52" t="str">
            <v>VND</v>
          </cell>
          <cell r="E52">
            <v>5.7766957234542762</v>
          </cell>
          <cell r="F52">
            <v>3.5249999000000001</v>
          </cell>
          <cell r="G52" t="str">
            <v>VIET NAM</v>
          </cell>
          <cell r="H52">
            <v>5</v>
          </cell>
        </row>
        <row r="53">
          <cell r="B53" t="str">
            <v>42277ZAR</v>
          </cell>
          <cell r="C53" t="str">
            <v>42277SOUTH AFRICA</v>
          </cell>
          <cell r="D53" t="str">
            <v>ZAR</v>
          </cell>
          <cell r="E53">
            <v>7.7159820380363211</v>
          </cell>
          <cell r="F53">
            <v>5.6743969999999999</v>
          </cell>
          <cell r="G53" t="str">
            <v>SOUTH AFRICA</v>
          </cell>
          <cell r="H53">
            <v>5</v>
          </cell>
        </row>
        <row r="54">
          <cell r="B54" t="str">
            <v>42277EUR1</v>
          </cell>
          <cell r="C54" t="str">
            <v>42277BELGIUM</v>
          </cell>
          <cell r="D54" t="str">
            <v>EUR1</v>
          </cell>
          <cell r="E54">
            <v>3.3352315657809752</v>
          </cell>
          <cell r="G54" t="str">
            <v>BELGIUM</v>
          </cell>
          <cell r="H54">
            <v>5</v>
          </cell>
        </row>
        <row r="55">
          <cell r="B55" t="str">
            <v>42277EUR2</v>
          </cell>
          <cell r="C55" t="str">
            <v>42277CYPRUS</v>
          </cell>
          <cell r="D55" t="str">
            <v>EUR2</v>
          </cell>
          <cell r="E55">
            <v>3.3352315657809752</v>
          </cell>
          <cell r="G55" t="str">
            <v>CYPRUS</v>
          </cell>
          <cell r="H55">
            <v>5</v>
          </cell>
        </row>
        <row r="56">
          <cell r="B56" t="str">
            <v>42277EUR3</v>
          </cell>
          <cell r="C56" t="str">
            <v>42277ESTONIA</v>
          </cell>
          <cell r="D56" t="str">
            <v>EUR3</v>
          </cell>
          <cell r="E56">
            <v>3.3352315657809752</v>
          </cell>
          <cell r="G56" t="str">
            <v>ESTONIA</v>
          </cell>
          <cell r="H56">
            <v>5</v>
          </cell>
        </row>
        <row r="57">
          <cell r="B57" t="str">
            <v>42277EUR4</v>
          </cell>
          <cell r="C57" t="str">
            <v>42277FINLAND</v>
          </cell>
          <cell r="D57" t="str">
            <v>EUR4</v>
          </cell>
          <cell r="E57">
            <v>3.3352315657809752</v>
          </cell>
          <cell r="G57" t="str">
            <v>FINLAND</v>
          </cell>
          <cell r="H57">
            <v>5</v>
          </cell>
        </row>
        <row r="58">
          <cell r="B58" t="str">
            <v>42277EUR5</v>
          </cell>
          <cell r="C58" t="str">
            <v>42277FRANCE</v>
          </cell>
          <cell r="D58" t="str">
            <v>EUR5</v>
          </cell>
          <cell r="E58">
            <v>3.3352315657809752</v>
          </cell>
          <cell r="G58" t="str">
            <v>FRANCE</v>
          </cell>
          <cell r="H58">
            <v>5</v>
          </cell>
        </row>
        <row r="59">
          <cell r="B59" t="str">
            <v>42277EUR6</v>
          </cell>
          <cell r="C59" t="str">
            <v>42277GERMANY</v>
          </cell>
          <cell r="D59" t="str">
            <v>EUR6</v>
          </cell>
          <cell r="E59">
            <v>3.3352315657809752</v>
          </cell>
          <cell r="G59" t="str">
            <v>GERMANY</v>
          </cell>
          <cell r="H59">
            <v>5.1604940996504878</v>
          </cell>
        </row>
        <row r="60">
          <cell r="B60" t="str">
            <v>42277EUR7</v>
          </cell>
          <cell r="C60" t="str">
            <v>42277GREECE</v>
          </cell>
          <cell r="D60" t="str">
            <v>EUR7</v>
          </cell>
          <cell r="E60">
            <v>3.3352315657809752</v>
          </cell>
          <cell r="G60" t="str">
            <v>GREECE</v>
          </cell>
          <cell r="H60">
            <v>10</v>
          </cell>
        </row>
        <row r="61">
          <cell r="B61" t="str">
            <v>42277EUR8</v>
          </cell>
          <cell r="C61" t="str">
            <v>42277IRELAND</v>
          </cell>
          <cell r="D61" t="str">
            <v>EUR8</v>
          </cell>
          <cell r="E61">
            <v>3.3352315657809752</v>
          </cell>
          <cell r="G61" t="str">
            <v>IRELAND</v>
          </cell>
          <cell r="H61">
            <v>5</v>
          </cell>
        </row>
        <row r="62">
          <cell r="B62" t="str">
            <v>42277EUR9</v>
          </cell>
          <cell r="C62" t="str">
            <v>42277ITALY</v>
          </cell>
          <cell r="D62" t="str">
            <v>EUR9</v>
          </cell>
          <cell r="E62">
            <v>3.3352315657809752</v>
          </cell>
          <cell r="G62" t="str">
            <v>ITALY</v>
          </cell>
          <cell r="H62">
            <v>5</v>
          </cell>
        </row>
        <row r="63">
          <cell r="B63" t="str">
            <v>42277EUR10</v>
          </cell>
          <cell r="C63" t="str">
            <v>42277LATVIA</v>
          </cell>
          <cell r="D63" t="str">
            <v>EUR10</v>
          </cell>
          <cell r="E63">
            <v>3.3352315657809752</v>
          </cell>
          <cell r="G63" t="str">
            <v>LATVIA</v>
          </cell>
          <cell r="H63">
            <v>5</v>
          </cell>
        </row>
        <row r="64">
          <cell r="B64" t="str">
            <v>42277EUR11</v>
          </cell>
          <cell r="C64" t="str">
            <v>42277LUXEMBOURG</v>
          </cell>
          <cell r="D64" t="str">
            <v>EUR11</v>
          </cell>
          <cell r="E64">
            <v>3.3352315657809752</v>
          </cell>
          <cell r="G64" t="str">
            <v>LUXEMBOURG</v>
          </cell>
          <cell r="H64">
            <v>5</v>
          </cell>
        </row>
        <row r="65">
          <cell r="B65" t="str">
            <v>42277EUR12</v>
          </cell>
          <cell r="C65" t="str">
            <v>42277MALTA</v>
          </cell>
          <cell r="D65" t="str">
            <v>EUR12</v>
          </cell>
          <cell r="E65">
            <v>3.3352315657809752</v>
          </cell>
          <cell r="G65" t="str">
            <v>MALTA</v>
          </cell>
          <cell r="H65">
            <v>5</v>
          </cell>
        </row>
        <row r="66">
          <cell r="B66" t="str">
            <v>42277EUR13</v>
          </cell>
          <cell r="C66" t="str">
            <v>42277MONTENEGRO</v>
          </cell>
          <cell r="D66" t="str">
            <v>EUR13</v>
          </cell>
          <cell r="E66">
            <v>3.3352315657809752</v>
          </cell>
          <cell r="G66" t="str">
            <v>MONTENEGRO</v>
          </cell>
          <cell r="H66">
            <v>5</v>
          </cell>
        </row>
        <row r="67">
          <cell r="B67" t="str">
            <v>42277EUR14</v>
          </cell>
          <cell r="C67" t="str">
            <v>42277NETHERLANDS</v>
          </cell>
          <cell r="D67" t="str">
            <v>EUR14</v>
          </cell>
          <cell r="E67">
            <v>3.3352315657809752</v>
          </cell>
          <cell r="G67" t="str">
            <v>NETHERLANDS</v>
          </cell>
          <cell r="H67">
            <v>5</v>
          </cell>
        </row>
        <row r="68">
          <cell r="B68" t="str">
            <v>42277EUR15</v>
          </cell>
          <cell r="C68" t="str">
            <v>42277PORTUGAL</v>
          </cell>
          <cell r="D68" t="str">
            <v>EUR15</v>
          </cell>
          <cell r="E68">
            <v>3.3352315657809752</v>
          </cell>
          <cell r="G68" t="str">
            <v>PORTUGAL</v>
          </cell>
          <cell r="H68">
            <v>5</v>
          </cell>
        </row>
        <row r="69">
          <cell r="B69" t="str">
            <v>42277EUR16</v>
          </cell>
          <cell r="C69" t="str">
            <v>42277SLOVAKIA</v>
          </cell>
          <cell r="D69" t="str">
            <v>EUR16</v>
          </cell>
          <cell r="E69">
            <v>3.3352315657809752</v>
          </cell>
          <cell r="G69" t="str">
            <v>SLOVAKIA</v>
          </cell>
          <cell r="H69">
            <v>5</v>
          </cell>
        </row>
        <row r="70">
          <cell r="B70" t="str">
            <v>42277EUR17</v>
          </cell>
          <cell r="C70" t="str">
            <v>42277SLOVENIA</v>
          </cell>
          <cell r="D70" t="str">
            <v>EUR17</v>
          </cell>
          <cell r="E70">
            <v>3.3352315657809752</v>
          </cell>
          <cell r="G70" t="str">
            <v>SLOVENIA</v>
          </cell>
          <cell r="H70">
            <v>5</v>
          </cell>
        </row>
        <row r="71">
          <cell r="B71" t="str">
            <v>42277EUR18</v>
          </cell>
          <cell r="C71" t="str">
            <v>42277SPAIN</v>
          </cell>
          <cell r="D71" t="str">
            <v>EUR18</v>
          </cell>
          <cell r="E71">
            <v>3.3352315657809752</v>
          </cell>
          <cell r="G71" t="str">
            <v>SPAIN</v>
          </cell>
          <cell r="H71">
            <v>5</v>
          </cell>
        </row>
        <row r="72">
          <cell r="B72" t="str">
            <v>42308AED</v>
          </cell>
          <cell r="C72" t="str">
            <v>42308U. A. E.</v>
          </cell>
          <cell r="D72" t="str">
            <v>AED</v>
          </cell>
          <cell r="E72">
            <v>5.299649493533968</v>
          </cell>
          <cell r="F72">
            <v>1.5491111</v>
          </cell>
          <cell r="G72" t="str">
            <v>U. A. E.</v>
          </cell>
          <cell r="H72">
            <v>5</v>
          </cell>
        </row>
        <row r="73">
          <cell r="B73" t="str">
            <v>42308ARS</v>
          </cell>
          <cell r="C73" t="str">
            <v>42308ARGENTINA</v>
          </cell>
          <cell r="D73" t="str">
            <v>ARS</v>
          </cell>
          <cell r="E73">
            <v>25.118245172144984</v>
          </cell>
          <cell r="F73">
            <v>22.818527</v>
          </cell>
          <cell r="G73" t="str">
            <v>ARGENTINA</v>
          </cell>
          <cell r="H73">
            <v>5</v>
          </cell>
        </row>
        <row r="74">
          <cell r="B74" t="str">
            <v>42308AUD</v>
          </cell>
          <cell r="C74" t="str">
            <v>42308AUSTRALIA</v>
          </cell>
          <cell r="D74" t="str">
            <v>AUD</v>
          </cell>
          <cell r="E74">
            <v>4.611220469902281</v>
          </cell>
          <cell r="F74">
            <v>2.4370213000000001</v>
          </cell>
          <cell r="G74" t="str">
            <v>AUSTRALIA</v>
          </cell>
          <cell r="H74">
            <v>4.6374300560304293</v>
          </cell>
        </row>
        <row r="75">
          <cell r="B75" t="str">
            <v>42308BDT</v>
          </cell>
          <cell r="C75" t="str">
            <v>42308BANGLADESH</v>
          </cell>
          <cell r="D75" t="str">
            <v>BDT</v>
          </cell>
          <cell r="E75">
            <v>8.8206939891289515</v>
          </cell>
          <cell r="F75">
            <v>6.1166663000000003</v>
          </cell>
          <cell r="G75" t="str">
            <v>BANGLADESH</v>
          </cell>
          <cell r="H75">
            <v>5</v>
          </cell>
        </row>
        <row r="76">
          <cell r="B76" t="str">
            <v>42308BRL</v>
          </cell>
          <cell r="C76" t="str">
            <v>42308BRAZIL</v>
          </cell>
          <cell r="D76" t="str">
            <v>BRL</v>
          </cell>
          <cell r="E76">
            <v>8.2780214549920608</v>
          </cell>
          <cell r="F76">
            <v>6.6900969999999997</v>
          </cell>
          <cell r="G76" t="str">
            <v>BRAZIL</v>
          </cell>
          <cell r="H76">
            <v>5</v>
          </cell>
        </row>
        <row r="77">
          <cell r="B77" t="str">
            <v>42308BWP</v>
          </cell>
          <cell r="C77" t="str">
            <v>42308BOTSWANA</v>
          </cell>
          <cell r="D77" t="str">
            <v>BWP</v>
          </cell>
          <cell r="E77">
            <v>6.5670893390217957</v>
          </cell>
          <cell r="F77">
            <v>4.2985000000000007</v>
          </cell>
          <cell r="G77" t="str">
            <v>BOTSWANA</v>
          </cell>
          <cell r="H77">
            <v>5</v>
          </cell>
        </row>
        <row r="78">
          <cell r="B78" t="str">
            <v>42308CAD</v>
          </cell>
          <cell r="C78" t="str">
            <v>42308CANADA</v>
          </cell>
          <cell r="D78" t="str">
            <v>CAD</v>
          </cell>
          <cell r="E78">
            <v>4.0912501559647687</v>
          </cell>
          <cell r="F78">
            <v>1.8319658999999999</v>
          </cell>
          <cell r="G78" t="str">
            <v>CANADA</v>
          </cell>
          <cell r="H78">
            <v>5</v>
          </cell>
        </row>
        <row r="79">
          <cell r="B79" t="str">
            <v>42308CHF</v>
          </cell>
          <cell r="C79" t="str">
            <v>42308SWITZERLAND</v>
          </cell>
          <cell r="D79" t="str">
            <v>CHF</v>
          </cell>
          <cell r="E79">
            <v>2.4217635718133215</v>
          </cell>
          <cell r="F79">
            <v>-0.38928083000000002</v>
          </cell>
          <cell r="G79" t="str">
            <v>SWITZERLAND</v>
          </cell>
          <cell r="H79">
            <v>5</v>
          </cell>
        </row>
        <row r="80">
          <cell r="B80" t="str">
            <v>42308CLP</v>
          </cell>
          <cell r="C80" t="str">
            <v>42308CHILE</v>
          </cell>
          <cell r="D80" t="str">
            <v>CLP</v>
          </cell>
          <cell r="E80">
            <v>5.6565771708428505</v>
          </cell>
          <cell r="F80">
            <v>3.5564307999999998</v>
          </cell>
          <cell r="G80" t="str">
            <v>CHILE</v>
          </cell>
          <cell r="H80">
            <v>5</v>
          </cell>
        </row>
        <row r="81">
          <cell r="B81" t="str">
            <v>42308CNY</v>
          </cell>
          <cell r="C81" t="str">
            <v>42308CHINA</v>
          </cell>
          <cell r="D81" t="str">
            <v>CNY</v>
          </cell>
          <cell r="E81">
            <v>4.4486505259327105</v>
          </cell>
          <cell r="F81">
            <v>2.0057209999999999</v>
          </cell>
          <cell r="G81" t="str">
            <v>CHINA</v>
          </cell>
          <cell r="H81">
            <v>5</v>
          </cell>
        </row>
        <row r="82">
          <cell r="B82" t="str">
            <v>42308COP</v>
          </cell>
          <cell r="C82" t="str">
            <v>42308COLOMBIA</v>
          </cell>
          <cell r="D82" t="str">
            <v>COP</v>
          </cell>
          <cell r="E82">
            <v>5.6625849671774899</v>
          </cell>
          <cell r="F82">
            <v>3.8824996999999999</v>
          </cell>
          <cell r="G82" t="str">
            <v>COLOMBIA</v>
          </cell>
          <cell r="H82">
            <v>5</v>
          </cell>
        </row>
        <row r="83">
          <cell r="B83" t="str">
            <v>42308CZK</v>
          </cell>
          <cell r="C83" t="str">
            <v>42308CZECH REPUBLIC</v>
          </cell>
          <cell r="D83" t="str">
            <v>CZK</v>
          </cell>
          <cell r="E83">
            <v>3.817219939843234</v>
          </cell>
          <cell r="F83">
            <v>1.3819865</v>
          </cell>
          <cell r="G83" t="str">
            <v>CZECH REPUBLIC</v>
          </cell>
          <cell r="H83">
            <v>5</v>
          </cell>
        </row>
        <row r="84">
          <cell r="B84" t="str">
            <v>42308DKK</v>
          </cell>
          <cell r="C84" t="str">
            <v>42308DENMARK</v>
          </cell>
          <cell r="D84" t="str">
            <v>DKK</v>
          </cell>
          <cell r="E84">
            <v>3.9083065897722626</v>
          </cell>
          <cell r="F84">
            <v>1.3852761</v>
          </cell>
          <cell r="G84" t="str">
            <v>DENMARK</v>
          </cell>
          <cell r="H84">
            <v>5</v>
          </cell>
        </row>
        <row r="85">
          <cell r="B85" t="str">
            <v>42308EGP</v>
          </cell>
          <cell r="C85" t="str">
            <v>42308EGYPT</v>
          </cell>
          <cell r="D85" t="str">
            <v>EGP</v>
          </cell>
          <cell r="E85">
            <v>11.585875407778161</v>
          </cell>
          <cell r="F85">
            <v>9.1843409999999999</v>
          </cell>
          <cell r="G85" t="str">
            <v>EGYPT</v>
          </cell>
          <cell r="H85">
            <v>5</v>
          </cell>
        </row>
        <row r="86">
          <cell r="B86" t="str">
            <v>42308EUR</v>
          </cell>
          <cell r="C86" t="str">
            <v>42308AUSTRIA</v>
          </cell>
          <cell r="D86" t="str">
            <v>EUR</v>
          </cell>
          <cell r="E86">
            <v>3.3352315657809752</v>
          </cell>
          <cell r="F86">
            <v>0.92920915166666662</v>
          </cell>
          <cell r="G86" t="str">
            <v>AUSTRIA</v>
          </cell>
          <cell r="H86">
            <v>5</v>
          </cell>
        </row>
        <row r="87">
          <cell r="B87" t="str">
            <v>42308GBP</v>
          </cell>
          <cell r="C87" t="str">
            <v>42308UNITED KINGDOM</v>
          </cell>
          <cell r="D87" t="str">
            <v>GBP</v>
          </cell>
          <cell r="E87">
            <v>3.7602072721388859</v>
          </cell>
          <cell r="F87">
            <v>1.1704805</v>
          </cell>
          <cell r="G87" t="str">
            <v>UNITED KINGDOM</v>
          </cell>
          <cell r="H87">
            <v>5</v>
          </cell>
        </row>
        <row r="88">
          <cell r="B88" t="str">
            <v>42308HKD</v>
          </cell>
          <cell r="C88" t="str">
            <v>42308HONG KONG</v>
          </cell>
          <cell r="D88" t="str">
            <v>HKD</v>
          </cell>
          <cell r="E88">
            <v>5.3698565407867473</v>
          </cell>
          <cell r="F88">
            <v>1.5491111</v>
          </cell>
          <cell r="G88" t="str">
            <v>HONG KONG</v>
          </cell>
          <cell r="H88">
            <v>3.5787939851459631</v>
          </cell>
        </row>
        <row r="89">
          <cell r="B89" t="str">
            <v>42308HUF</v>
          </cell>
          <cell r="C89" t="str">
            <v>42308HUNGARY</v>
          </cell>
          <cell r="D89" t="str">
            <v>HUF</v>
          </cell>
          <cell r="E89">
            <v>4.550240991131286</v>
          </cell>
          <cell r="F89">
            <v>1.7445622999999999</v>
          </cell>
          <cell r="G89" t="str">
            <v>HUNGARY</v>
          </cell>
          <cell r="H89">
            <v>5</v>
          </cell>
        </row>
        <row r="90">
          <cell r="B90" t="str">
            <v>42308IDR</v>
          </cell>
          <cell r="C90" t="str">
            <v>42308INDONESIA</v>
          </cell>
          <cell r="D90" t="str">
            <v>IDR</v>
          </cell>
          <cell r="E90">
            <v>7.3853914869320505</v>
          </cell>
          <cell r="F90">
            <v>5.4863010000000001</v>
          </cell>
          <cell r="G90" t="str">
            <v>INDONESIA</v>
          </cell>
          <cell r="H90">
            <v>5</v>
          </cell>
        </row>
        <row r="91">
          <cell r="B91" t="str">
            <v>42308ILS</v>
          </cell>
          <cell r="C91" t="str">
            <v>42308ISRAEL</v>
          </cell>
          <cell r="D91" t="str">
            <v>ILS</v>
          </cell>
          <cell r="E91">
            <v>3.8364586503774758</v>
          </cell>
          <cell r="F91">
            <v>0.90432959999999996</v>
          </cell>
          <cell r="G91" t="str">
            <v>ISRAEL</v>
          </cell>
          <cell r="H91">
            <v>5</v>
          </cell>
        </row>
        <row r="92">
          <cell r="B92" t="str">
            <v>42308INR</v>
          </cell>
          <cell r="C92" t="str">
            <v>42308INDIA</v>
          </cell>
          <cell r="D92" t="str">
            <v>INR</v>
          </cell>
          <cell r="E92">
            <v>7.5053317444017811</v>
          </cell>
          <cell r="F92">
            <v>5.2349376999999997</v>
          </cell>
          <cell r="G92" t="str">
            <v>INDIA</v>
          </cell>
          <cell r="H92">
            <v>5</v>
          </cell>
        </row>
        <row r="93">
          <cell r="B93" t="str">
            <v>42308IQD</v>
          </cell>
          <cell r="C93" t="str">
            <v>42308IRAQ</v>
          </cell>
          <cell r="D93" t="str">
            <v>IQD</v>
          </cell>
          <cell r="E93">
            <v>5.0242122627077093</v>
          </cell>
          <cell r="F93">
            <v>2.8126666666666669</v>
          </cell>
          <cell r="G93" t="str">
            <v>IRAQ</v>
          </cell>
          <cell r="H93">
            <v>5</v>
          </cell>
        </row>
        <row r="94">
          <cell r="B94" t="str">
            <v>42308JPY</v>
          </cell>
          <cell r="C94" t="str">
            <v>42308JAPAN</v>
          </cell>
          <cell r="D94" t="str">
            <v>JPY</v>
          </cell>
          <cell r="E94">
            <v>3.2542629597647235</v>
          </cell>
          <cell r="F94">
            <v>0.79062873</v>
          </cell>
          <cell r="G94" t="str">
            <v>JAPAN</v>
          </cell>
          <cell r="H94">
            <v>5</v>
          </cell>
        </row>
        <row r="95">
          <cell r="B95" t="str">
            <v>42308KES</v>
          </cell>
          <cell r="C95" t="str">
            <v>42308KENYA</v>
          </cell>
          <cell r="D95" t="str">
            <v>KES</v>
          </cell>
          <cell r="E95">
            <v>7.7105698935640046</v>
          </cell>
          <cell r="F95">
            <v>6.5</v>
          </cell>
          <cell r="G95" t="str">
            <v>KENYA</v>
          </cell>
          <cell r="H95">
            <v>5</v>
          </cell>
        </row>
        <row r="96">
          <cell r="B96" t="str">
            <v>42308KRW</v>
          </cell>
          <cell r="C96" t="str">
            <v>42308KOREA SOUTH(REPUBLIC OF KOREA)</v>
          </cell>
          <cell r="D96" t="str">
            <v>KRW</v>
          </cell>
          <cell r="E96">
            <v>4.5454409262545772</v>
          </cell>
          <cell r="F96">
            <v>1.4618404</v>
          </cell>
          <cell r="G96" t="str">
            <v>KOREA SOUTH(REPUBLIC OF KOREA)</v>
          </cell>
          <cell r="H96">
            <v>5</v>
          </cell>
        </row>
        <row r="97">
          <cell r="B97" t="str">
            <v>42308KWD</v>
          </cell>
          <cell r="C97" t="str">
            <v>42308KUWAIT</v>
          </cell>
          <cell r="D97" t="str">
            <v>KWD</v>
          </cell>
          <cell r="E97">
            <v>5.669953575332535</v>
          </cell>
          <cell r="F97">
            <v>3.5</v>
          </cell>
          <cell r="G97" t="str">
            <v>KUWAIT</v>
          </cell>
          <cell r="H97">
            <v>5</v>
          </cell>
        </row>
        <row r="98">
          <cell r="B98" t="str">
            <v>42308KZT</v>
          </cell>
          <cell r="C98" t="str">
            <v>42308KAZAKHSTAN</v>
          </cell>
          <cell r="D98" t="str">
            <v>KZT</v>
          </cell>
          <cell r="E98">
            <v>9.3990001723787842</v>
          </cell>
          <cell r="F98">
            <v>8.1901666666666681</v>
          </cell>
          <cell r="G98" t="str">
            <v>KAZAKHSTAN</v>
          </cell>
          <cell r="H98">
            <v>5</v>
          </cell>
        </row>
        <row r="99">
          <cell r="B99" t="str">
            <v>42308LKR</v>
          </cell>
          <cell r="C99" t="str">
            <v>42308SRI LANKA</v>
          </cell>
          <cell r="D99" t="str">
            <v>LKR</v>
          </cell>
          <cell r="E99">
            <v>6.1325860123118838</v>
          </cell>
          <cell r="F99">
            <v>3.7666664000000001</v>
          </cell>
          <cell r="G99" t="str">
            <v>SRI LANKA</v>
          </cell>
          <cell r="H99">
            <v>5</v>
          </cell>
        </row>
        <row r="100">
          <cell r="B100" t="str">
            <v>42308MAD</v>
          </cell>
          <cell r="C100" t="str">
            <v>42308MOROCCO</v>
          </cell>
          <cell r="D100" t="str">
            <v>MAD</v>
          </cell>
          <cell r="E100">
            <v>4.1498033428810901</v>
          </cell>
          <cell r="F100">
            <v>1.5</v>
          </cell>
          <cell r="G100" t="str">
            <v>MOROCCO</v>
          </cell>
          <cell r="H100">
            <v>5</v>
          </cell>
        </row>
        <row r="101">
          <cell r="B101" t="str">
            <v>42308MXN</v>
          </cell>
          <cell r="C101" t="str">
            <v>42308MEXICO</v>
          </cell>
          <cell r="D101" t="str">
            <v>MXN</v>
          </cell>
          <cell r="E101">
            <v>5.2083704891747997</v>
          </cell>
          <cell r="F101">
            <v>3.3660785999999998</v>
          </cell>
          <cell r="G101" t="str">
            <v>MEXICO</v>
          </cell>
          <cell r="H101">
            <v>5</v>
          </cell>
        </row>
        <row r="102">
          <cell r="B102" t="str">
            <v>42308MYR</v>
          </cell>
          <cell r="C102" t="str">
            <v>42308MALAYSIA</v>
          </cell>
          <cell r="D102" t="str">
            <v>MYR</v>
          </cell>
          <cell r="E102">
            <v>5.289038357842605</v>
          </cell>
          <cell r="F102">
            <v>2.7601094000000002</v>
          </cell>
          <cell r="G102" t="str">
            <v>MALAYSIA</v>
          </cell>
          <cell r="H102">
            <v>5</v>
          </cell>
        </row>
        <row r="103">
          <cell r="B103" t="str">
            <v>42308NGN</v>
          </cell>
          <cell r="C103" t="str">
            <v>42308NIGERIA</v>
          </cell>
          <cell r="D103" t="str">
            <v>NGN</v>
          </cell>
          <cell r="E103">
            <v>10.77140503526706</v>
          </cell>
          <cell r="F103">
            <v>9.8470739999999992</v>
          </cell>
          <cell r="G103" t="str">
            <v>NIGERIA</v>
          </cell>
          <cell r="H103">
            <v>5</v>
          </cell>
        </row>
        <row r="104">
          <cell r="B104" t="str">
            <v>42308NOK</v>
          </cell>
          <cell r="C104" t="str">
            <v>42308NORWAY</v>
          </cell>
          <cell r="D104" t="str">
            <v>NOK</v>
          </cell>
          <cell r="E104">
            <v>4.5999267458624518</v>
          </cell>
          <cell r="F104">
            <v>2.2750553999999998</v>
          </cell>
          <cell r="G104" t="str">
            <v>NORWAY</v>
          </cell>
          <cell r="H104">
            <v>5</v>
          </cell>
        </row>
        <row r="105">
          <cell r="B105" t="str">
            <v>42308NZD</v>
          </cell>
          <cell r="C105" t="str">
            <v>42308NEW ZEALAND</v>
          </cell>
          <cell r="D105" t="str">
            <v>NZD</v>
          </cell>
          <cell r="E105">
            <v>3.7956002733151841</v>
          </cell>
          <cell r="F105">
            <v>1.5952865000000001</v>
          </cell>
          <cell r="G105" t="str">
            <v>NEW ZEALAND</v>
          </cell>
          <cell r="H105">
            <v>5.4530502526175262</v>
          </cell>
        </row>
        <row r="106">
          <cell r="B106" t="str">
            <v>42308OMR</v>
          </cell>
          <cell r="C106" t="str">
            <v>42308OMAN</v>
          </cell>
          <cell r="D106" t="str">
            <v>OMR</v>
          </cell>
          <cell r="E106">
            <v>4.4482255110273519</v>
          </cell>
          <cell r="F106">
            <v>1.5491111</v>
          </cell>
          <cell r="G106" t="str">
            <v>OMAN</v>
          </cell>
          <cell r="H106">
            <v>5</v>
          </cell>
        </row>
        <row r="107">
          <cell r="B107" t="str">
            <v>42308PEN</v>
          </cell>
          <cell r="C107" t="str">
            <v>42308PERU</v>
          </cell>
          <cell r="D107" t="str">
            <v>PEN</v>
          </cell>
          <cell r="E107">
            <v>4.6692131877545764</v>
          </cell>
          <cell r="F107">
            <v>3.267611</v>
          </cell>
          <cell r="G107" t="str">
            <v>PERU</v>
          </cell>
          <cell r="H107">
            <v>5</v>
          </cell>
        </row>
        <row r="108">
          <cell r="B108" t="str">
            <v>42308PHP</v>
          </cell>
          <cell r="C108" t="str">
            <v>42308PHILIPPINES</v>
          </cell>
          <cell r="D108" t="str">
            <v>PHP</v>
          </cell>
          <cell r="E108">
            <v>5.3904633216530087</v>
          </cell>
          <cell r="F108">
            <v>2.6131030000000002</v>
          </cell>
          <cell r="G108" t="str">
            <v>PHILIPPINES</v>
          </cell>
          <cell r="H108">
            <v>5</v>
          </cell>
        </row>
        <row r="109">
          <cell r="B109" t="str">
            <v>42308PKR</v>
          </cell>
          <cell r="C109" t="str">
            <v>42308PAKISTAN</v>
          </cell>
          <cell r="D109" t="str">
            <v>PKR</v>
          </cell>
          <cell r="E109">
            <v>7.1962804265149263</v>
          </cell>
          <cell r="F109">
            <v>5.0999999999999996</v>
          </cell>
          <cell r="G109" t="str">
            <v>PAKISTAN</v>
          </cell>
          <cell r="H109">
            <v>5</v>
          </cell>
        </row>
        <row r="110">
          <cell r="B110" t="str">
            <v>42308PLN</v>
          </cell>
          <cell r="C110" t="str">
            <v>42308POLAND</v>
          </cell>
          <cell r="D110" t="str">
            <v>PLN</v>
          </cell>
          <cell r="E110">
            <v>3.6358132610942375</v>
          </cell>
          <cell r="F110">
            <v>0.97784853000000005</v>
          </cell>
          <cell r="G110" t="str">
            <v>POLAND</v>
          </cell>
          <cell r="H110">
            <v>5</v>
          </cell>
        </row>
        <row r="111">
          <cell r="B111" t="str">
            <v>42308QAR</v>
          </cell>
          <cell r="C111" t="str">
            <v>42308QATAR</v>
          </cell>
          <cell r="D111" t="str">
            <v>QAR</v>
          </cell>
          <cell r="E111">
            <v>4.6723623927241977</v>
          </cell>
          <cell r="F111">
            <v>1.5491111</v>
          </cell>
          <cell r="G111" t="str">
            <v>QATAR</v>
          </cell>
          <cell r="H111">
            <v>5</v>
          </cell>
        </row>
        <row r="112">
          <cell r="B112" t="str">
            <v>42308RON</v>
          </cell>
          <cell r="C112" t="str">
            <v>42308ROMANIA</v>
          </cell>
          <cell r="D112" t="str">
            <v>RON</v>
          </cell>
          <cell r="E112">
            <v>3.6204488094398837</v>
          </cell>
          <cell r="F112">
            <v>0.10691747</v>
          </cell>
          <cell r="G112" t="str">
            <v>ROMANIA</v>
          </cell>
          <cell r="H112">
            <v>5</v>
          </cell>
        </row>
        <row r="113">
          <cell r="B113" t="str">
            <v>42308RUB</v>
          </cell>
          <cell r="C113" t="str">
            <v>42308RUSSIAN FEDERATION</v>
          </cell>
          <cell r="D113" t="str">
            <v>RUB</v>
          </cell>
          <cell r="E113">
            <v>10.306426910337745</v>
          </cell>
          <cell r="F113">
            <v>8.1637570000000004</v>
          </cell>
          <cell r="G113" t="str">
            <v>RUSSIAN FEDERATION</v>
          </cell>
          <cell r="H113">
            <v>5</v>
          </cell>
        </row>
        <row r="114">
          <cell r="B114" t="str">
            <v>42308SAR</v>
          </cell>
          <cell r="C114" t="str">
            <v>42308SAUDI ARABIA</v>
          </cell>
          <cell r="D114" t="str">
            <v>SAR</v>
          </cell>
          <cell r="E114">
            <v>4.8683054536228267</v>
          </cell>
          <cell r="F114">
            <v>1.5491111</v>
          </cell>
          <cell r="G114" t="str">
            <v>SAUDI ARABIA</v>
          </cell>
          <cell r="H114">
            <v>5</v>
          </cell>
        </row>
        <row r="115">
          <cell r="B115" t="str">
            <v>42308SEK</v>
          </cell>
          <cell r="C115" t="str">
            <v>42308SWEDEN</v>
          </cell>
          <cell r="D115" t="str">
            <v>SEK</v>
          </cell>
          <cell r="E115">
            <v>3.6829027147684803</v>
          </cell>
          <cell r="F115">
            <v>0.99111780000000005</v>
          </cell>
          <cell r="G115" t="str">
            <v>SWEDEN</v>
          </cell>
          <cell r="H115">
            <v>5</v>
          </cell>
        </row>
        <row r="116">
          <cell r="B116" t="str">
            <v>42308SGD</v>
          </cell>
          <cell r="C116" t="str">
            <v>42308SINGAPORE</v>
          </cell>
          <cell r="D116" t="str">
            <v>SGD</v>
          </cell>
          <cell r="E116">
            <v>3.7507255815726817</v>
          </cell>
          <cell r="F116">
            <v>0.79955639999999994</v>
          </cell>
          <cell r="G116" t="str">
            <v>SINGAPORE</v>
          </cell>
          <cell r="H116">
            <v>5</v>
          </cell>
        </row>
        <row r="117">
          <cell r="B117" t="str">
            <v>42308THB</v>
          </cell>
          <cell r="C117" t="str">
            <v>42308THAILAND</v>
          </cell>
          <cell r="D117" t="str">
            <v>THB</v>
          </cell>
          <cell r="E117">
            <v>3.6830237157572867</v>
          </cell>
          <cell r="F117">
            <v>1.1383540000000001</v>
          </cell>
          <cell r="G117" t="str">
            <v>THAILAND</v>
          </cell>
          <cell r="H117">
            <v>6.0677018658153949</v>
          </cell>
        </row>
        <row r="118">
          <cell r="B118" t="str">
            <v>42308TRY</v>
          </cell>
          <cell r="C118" t="str">
            <v>42308TURKEY</v>
          </cell>
          <cell r="D118" t="str">
            <v>TRY</v>
          </cell>
          <cell r="E118">
            <v>9.0323375381532269</v>
          </cell>
          <cell r="F118">
            <v>7.3336334000000001</v>
          </cell>
          <cell r="G118" t="str">
            <v>TURKEY</v>
          </cell>
          <cell r="H118">
            <v>5</v>
          </cell>
        </row>
        <row r="119">
          <cell r="B119" t="str">
            <v>42308TWD</v>
          </cell>
          <cell r="C119" t="str">
            <v>42308TAIWAN</v>
          </cell>
          <cell r="D119" t="str">
            <v>TWD</v>
          </cell>
          <cell r="E119">
            <v>3.3478746216391944</v>
          </cell>
          <cell r="F119">
            <v>0.83497849999999996</v>
          </cell>
          <cell r="G119" t="str">
            <v>TAIWAN</v>
          </cell>
          <cell r="H119">
            <v>5</v>
          </cell>
        </row>
        <row r="120">
          <cell r="B120" t="str">
            <v>42308UAH</v>
          </cell>
          <cell r="C120" t="str">
            <v>42308UKRAINE</v>
          </cell>
          <cell r="D120" t="str">
            <v>UAH</v>
          </cell>
          <cell r="E120">
            <v>18.394039059892677</v>
          </cell>
          <cell r="F120">
            <v>23.723108</v>
          </cell>
          <cell r="G120" t="str">
            <v>UKRAINE</v>
          </cell>
          <cell r="H120">
            <v>5</v>
          </cell>
        </row>
        <row r="121">
          <cell r="B121" t="str">
            <v>42308USD</v>
          </cell>
          <cell r="C121" t="str">
            <v>42308ECUADOR</v>
          </cell>
          <cell r="D121" t="str">
            <v>USD</v>
          </cell>
          <cell r="E121">
            <v>3.7543520469065319</v>
          </cell>
          <cell r="F121">
            <v>1.5491111</v>
          </cell>
          <cell r="G121" t="str">
            <v>ECUADOR</v>
          </cell>
          <cell r="H121">
            <v>5</v>
          </cell>
        </row>
        <row r="122">
          <cell r="B122" t="str">
            <v>42308VND</v>
          </cell>
          <cell r="C122" t="str">
            <v>42308VIET NAM</v>
          </cell>
          <cell r="D122" t="str">
            <v>VND</v>
          </cell>
          <cell r="E122">
            <v>5.7766957234542762</v>
          </cell>
          <cell r="F122">
            <v>3.9</v>
          </cell>
          <cell r="G122" t="str">
            <v>VIET NAM</v>
          </cell>
          <cell r="H122">
            <v>5</v>
          </cell>
        </row>
        <row r="123">
          <cell r="B123" t="str">
            <v>42308ZAR</v>
          </cell>
          <cell r="C123" t="str">
            <v>42308SOUTH AFRICA</v>
          </cell>
          <cell r="D123" t="str">
            <v>ZAR</v>
          </cell>
          <cell r="E123">
            <v>7.7159820380363211</v>
          </cell>
          <cell r="F123">
            <v>5.8035873999999996</v>
          </cell>
          <cell r="G123" t="str">
            <v>SOUTH AFRICA</v>
          </cell>
          <cell r="H123">
            <v>5</v>
          </cell>
        </row>
        <row r="124">
          <cell r="B124" t="str">
            <v>42308EUR1</v>
          </cell>
          <cell r="C124" t="str">
            <v>42308BELGIUM</v>
          </cell>
          <cell r="D124" t="str">
            <v>EUR1</v>
          </cell>
          <cell r="E124">
            <v>3.3352315657809752</v>
          </cell>
          <cell r="G124" t="str">
            <v>BELGIUM</v>
          </cell>
          <cell r="H124">
            <v>5</v>
          </cell>
        </row>
        <row r="125">
          <cell r="B125" t="str">
            <v>42308EUR2</v>
          </cell>
          <cell r="C125" t="str">
            <v>42308CYPRUS</v>
          </cell>
          <cell r="D125" t="str">
            <v>EUR2</v>
          </cell>
          <cell r="E125">
            <v>3.3352315657809752</v>
          </cell>
          <cell r="G125" t="str">
            <v>CYPRUS</v>
          </cell>
          <cell r="H125">
            <v>5</v>
          </cell>
        </row>
        <row r="126">
          <cell r="B126" t="str">
            <v>42308EUR3</v>
          </cell>
          <cell r="C126" t="str">
            <v>42308ESTONIA</v>
          </cell>
          <cell r="D126" t="str">
            <v>EUR3</v>
          </cell>
          <cell r="E126">
            <v>3.3352315657809752</v>
          </cell>
          <cell r="G126" t="str">
            <v>ESTONIA</v>
          </cell>
          <cell r="H126">
            <v>5</v>
          </cell>
        </row>
        <row r="127">
          <cell r="B127" t="str">
            <v>42308EUR4</v>
          </cell>
          <cell r="C127" t="str">
            <v>42308FINLAND</v>
          </cell>
          <cell r="D127" t="str">
            <v>EUR4</v>
          </cell>
          <cell r="E127">
            <v>3.3352315657809752</v>
          </cell>
          <cell r="G127" t="str">
            <v>FINLAND</v>
          </cell>
          <cell r="H127">
            <v>5</v>
          </cell>
        </row>
        <row r="128">
          <cell r="B128" t="str">
            <v>42308EUR5</v>
          </cell>
          <cell r="C128" t="str">
            <v>42308FRANCE</v>
          </cell>
          <cell r="D128" t="str">
            <v>EUR5</v>
          </cell>
          <cell r="E128">
            <v>3.3352315657809752</v>
          </cell>
          <cell r="G128" t="str">
            <v>FRANCE</v>
          </cell>
          <cell r="H128">
            <v>5</v>
          </cell>
        </row>
        <row r="129">
          <cell r="B129" t="str">
            <v>42308EUR6</v>
          </cell>
          <cell r="C129" t="str">
            <v>42308GERMANY</v>
          </cell>
          <cell r="D129" t="str">
            <v>EUR6</v>
          </cell>
          <cell r="E129">
            <v>3.3352315657809752</v>
          </cell>
          <cell r="G129" t="str">
            <v>GERMANY</v>
          </cell>
          <cell r="H129">
            <v>5.1604940996504878</v>
          </cell>
        </row>
        <row r="130">
          <cell r="B130" t="str">
            <v>42308EUR7</v>
          </cell>
          <cell r="C130" t="str">
            <v>42308GREECE</v>
          </cell>
          <cell r="D130" t="str">
            <v>EUR7</v>
          </cell>
          <cell r="E130">
            <v>3.3352315657809752</v>
          </cell>
          <cell r="G130" t="str">
            <v>GREECE</v>
          </cell>
          <cell r="H130">
            <v>10</v>
          </cell>
        </row>
        <row r="131">
          <cell r="B131" t="str">
            <v>42308EUR8</v>
          </cell>
          <cell r="C131" t="str">
            <v>42308IRELAND</v>
          </cell>
          <cell r="D131" t="str">
            <v>EUR8</v>
          </cell>
          <cell r="E131">
            <v>3.3352315657809752</v>
          </cell>
          <cell r="G131" t="str">
            <v>IRELAND</v>
          </cell>
          <cell r="H131">
            <v>5</v>
          </cell>
        </row>
        <row r="132">
          <cell r="B132" t="str">
            <v>42308EUR9</v>
          </cell>
          <cell r="C132" t="str">
            <v>42308ITALY</v>
          </cell>
          <cell r="D132" t="str">
            <v>EUR9</v>
          </cell>
          <cell r="E132">
            <v>3.3352315657809752</v>
          </cell>
          <cell r="G132" t="str">
            <v>ITALY</v>
          </cell>
          <cell r="H132">
            <v>5</v>
          </cell>
        </row>
        <row r="133">
          <cell r="B133" t="str">
            <v>42308EUR10</v>
          </cell>
          <cell r="C133" t="str">
            <v>42308LATVIA</v>
          </cell>
          <cell r="D133" t="str">
            <v>EUR10</v>
          </cell>
          <cell r="E133">
            <v>3.3352315657809752</v>
          </cell>
          <cell r="G133" t="str">
            <v>LATVIA</v>
          </cell>
          <cell r="H133">
            <v>5</v>
          </cell>
        </row>
        <row r="134">
          <cell r="B134" t="str">
            <v>42308EUR11</v>
          </cell>
          <cell r="C134" t="str">
            <v>42308LUXEMBOURG</v>
          </cell>
          <cell r="D134" t="str">
            <v>EUR11</v>
          </cell>
          <cell r="E134">
            <v>3.3352315657809752</v>
          </cell>
          <cell r="G134" t="str">
            <v>LUXEMBOURG</v>
          </cell>
          <cell r="H134">
            <v>5</v>
          </cell>
        </row>
        <row r="135">
          <cell r="B135" t="str">
            <v>42308EUR12</v>
          </cell>
          <cell r="C135" t="str">
            <v>42308MALTA</v>
          </cell>
          <cell r="D135" t="str">
            <v>EUR12</v>
          </cell>
          <cell r="E135">
            <v>3.3352315657809752</v>
          </cell>
          <cell r="G135" t="str">
            <v>MALTA</v>
          </cell>
          <cell r="H135">
            <v>5</v>
          </cell>
        </row>
        <row r="136">
          <cell r="B136" t="str">
            <v>42308EUR13</v>
          </cell>
          <cell r="C136" t="str">
            <v>42308MONTENEGRO</v>
          </cell>
          <cell r="D136" t="str">
            <v>EUR13</v>
          </cell>
          <cell r="E136">
            <v>3.3352315657809752</v>
          </cell>
          <cell r="G136" t="str">
            <v>MONTENEGRO</v>
          </cell>
          <cell r="H136">
            <v>5</v>
          </cell>
        </row>
        <row r="137">
          <cell r="B137" t="str">
            <v>42308EUR14</v>
          </cell>
          <cell r="C137" t="str">
            <v>42308NETHERLANDS</v>
          </cell>
          <cell r="D137" t="str">
            <v>EUR14</v>
          </cell>
          <cell r="E137">
            <v>3.3352315657809752</v>
          </cell>
          <cell r="G137" t="str">
            <v>NETHERLANDS</v>
          </cell>
          <cell r="H137">
            <v>5</v>
          </cell>
        </row>
        <row r="138">
          <cell r="B138" t="str">
            <v>42308EUR15</v>
          </cell>
          <cell r="C138" t="str">
            <v>42308PORTUGAL</v>
          </cell>
          <cell r="D138" t="str">
            <v>EUR15</v>
          </cell>
          <cell r="E138">
            <v>3.3352315657809752</v>
          </cell>
          <cell r="G138" t="str">
            <v>PORTUGAL</v>
          </cell>
          <cell r="H138">
            <v>5</v>
          </cell>
        </row>
        <row r="139">
          <cell r="B139" t="str">
            <v>42308EUR16</v>
          </cell>
          <cell r="C139" t="str">
            <v>42308SLOVAKIA</v>
          </cell>
          <cell r="D139" t="str">
            <v>EUR16</v>
          </cell>
          <cell r="E139">
            <v>3.3352315657809752</v>
          </cell>
          <cell r="G139" t="str">
            <v>SLOVAKIA</v>
          </cell>
          <cell r="H139">
            <v>5</v>
          </cell>
        </row>
        <row r="140">
          <cell r="B140" t="str">
            <v>42308EUR17</v>
          </cell>
          <cell r="C140" t="str">
            <v>42308SLOVENIA</v>
          </cell>
          <cell r="D140" t="str">
            <v>EUR17</v>
          </cell>
          <cell r="E140">
            <v>3.3352315657809752</v>
          </cell>
          <cell r="G140" t="str">
            <v>SLOVENIA</v>
          </cell>
          <cell r="H140">
            <v>5</v>
          </cell>
        </row>
        <row r="141">
          <cell r="B141" t="str">
            <v>42308EUR18</v>
          </cell>
          <cell r="C141" t="str">
            <v>42308SPAIN</v>
          </cell>
          <cell r="D141" t="str">
            <v>EUR18</v>
          </cell>
          <cell r="E141">
            <v>3.3352315657809752</v>
          </cell>
          <cell r="G141" t="str">
            <v>SPAIN</v>
          </cell>
          <cell r="H141">
            <v>5</v>
          </cell>
        </row>
        <row r="142">
          <cell r="B142" t="str">
            <v>42338AED</v>
          </cell>
          <cell r="C142" t="str">
            <v>42338U. A. E.</v>
          </cell>
          <cell r="D142" t="str">
            <v>AED</v>
          </cell>
          <cell r="E142">
            <v>5.299649493533968</v>
          </cell>
          <cell r="F142">
            <v>1.6020681999999999</v>
          </cell>
          <cell r="G142" t="str">
            <v>U. A. E.</v>
          </cell>
          <cell r="H142">
            <v>5</v>
          </cell>
        </row>
        <row r="143">
          <cell r="B143" t="str">
            <v>42338ARS</v>
          </cell>
          <cell r="C143" t="str">
            <v>42338ARGENTINA</v>
          </cell>
          <cell r="D143" t="str">
            <v>ARS</v>
          </cell>
          <cell r="E143">
            <v>25.118245172144984</v>
          </cell>
          <cell r="F143">
            <v>25.896742</v>
          </cell>
          <cell r="G143" t="str">
            <v>ARGENTINA</v>
          </cell>
          <cell r="H143">
            <v>5</v>
          </cell>
        </row>
        <row r="144">
          <cell r="B144" t="str">
            <v>42338AUD</v>
          </cell>
          <cell r="C144" t="str">
            <v>42338AUSTRALIA</v>
          </cell>
          <cell r="D144" t="str">
            <v>AUD</v>
          </cell>
          <cell r="E144">
            <v>4.611220469902281</v>
          </cell>
          <cell r="F144">
            <v>2.361971</v>
          </cell>
          <cell r="G144" t="str">
            <v>AUSTRALIA</v>
          </cell>
          <cell r="H144">
            <v>4.6374300560304293</v>
          </cell>
        </row>
        <row r="145">
          <cell r="B145" t="str">
            <v>42338BDT</v>
          </cell>
          <cell r="C145" t="str">
            <v>42338BANGLADESH</v>
          </cell>
          <cell r="D145" t="str">
            <v>BDT</v>
          </cell>
          <cell r="E145">
            <v>8.8206939891289515</v>
          </cell>
          <cell r="F145">
            <v>6.1083335999999999</v>
          </cell>
          <cell r="G145" t="str">
            <v>BANGLADESH</v>
          </cell>
          <cell r="H145">
            <v>5</v>
          </cell>
        </row>
        <row r="146">
          <cell r="B146" t="str">
            <v>42338BRL</v>
          </cell>
          <cell r="C146" t="str">
            <v>42338BRAZIL</v>
          </cell>
          <cell r="D146" t="str">
            <v>BRL</v>
          </cell>
          <cell r="E146">
            <v>8.2780214549920608</v>
          </cell>
          <cell r="F146">
            <v>6.6741760000000001</v>
          </cell>
          <cell r="G146" t="str">
            <v>BRAZIL</v>
          </cell>
          <cell r="H146">
            <v>5</v>
          </cell>
        </row>
        <row r="147">
          <cell r="B147" t="str">
            <v>42338BWP</v>
          </cell>
          <cell r="C147" t="str">
            <v>42338BOTSWANA</v>
          </cell>
          <cell r="D147" t="str">
            <v>BWP</v>
          </cell>
          <cell r="E147">
            <v>6.5670893390217957</v>
          </cell>
          <cell r="F147">
            <v>4.3267499999999997</v>
          </cell>
          <cell r="G147" t="str">
            <v>BOTSWANA</v>
          </cell>
          <cell r="H147">
            <v>5</v>
          </cell>
        </row>
        <row r="148">
          <cell r="B148" t="str">
            <v>42338CAD</v>
          </cell>
          <cell r="C148" t="str">
            <v>42338CANADA</v>
          </cell>
          <cell r="D148" t="str">
            <v>CAD</v>
          </cell>
          <cell r="E148">
            <v>4.0912501559647687</v>
          </cell>
          <cell r="F148">
            <v>1.8406042</v>
          </cell>
          <cell r="G148" t="str">
            <v>CANADA</v>
          </cell>
          <cell r="H148">
            <v>5</v>
          </cell>
        </row>
        <row r="149">
          <cell r="B149" t="str">
            <v>42338CHF</v>
          </cell>
          <cell r="C149" t="str">
            <v>42338SWITZERLAND</v>
          </cell>
          <cell r="D149" t="str">
            <v>CHF</v>
          </cell>
          <cell r="E149">
            <v>2.4217635718133215</v>
          </cell>
          <cell r="F149">
            <v>-0.30325383</v>
          </cell>
          <cell r="G149" t="str">
            <v>SWITZERLAND</v>
          </cell>
          <cell r="H149">
            <v>5</v>
          </cell>
        </row>
        <row r="150">
          <cell r="B150" t="str">
            <v>42338CLP</v>
          </cell>
          <cell r="C150" t="str">
            <v>42338CHILE</v>
          </cell>
          <cell r="D150" t="str">
            <v>CLP</v>
          </cell>
          <cell r="E150">
            <v>5.6565771708428505</v>
          </cell>
          <cell r="F150">
            <v>3.4549376999999999</v>
          </cell>
          <cell r="G150" t="str">
            <v>CHILE</v>
          </cell>
          <cell r="H150">
            <v>5</v>
          </cell>
        </row>
        <row r="151">
          <cell r="B151" t="str">
            <v>42338CNY</v>
          </cell>
          <cell r="C151" t="str">
            <v>42338CHINA</v>
          </cell>
          <cell r="D151" t="str">
            <v>CNY</v>
          </cell>
          <cell r="E151">
            <v>4.4486505259327105</v>
          </cell>
          <cell r="F151">
            <v>1.8428366</v>
          </cell>
          <cell r="G151" t="str">
            <v>CHINA</v>
          </cell>
          <cell r="H151">
            <v>5</v>
          </cell>
        </row>
        <row r="152">
          <cell r="B152" t="str">
            <v>42338COP</v>
          </cell>
          <cell r="C152" t="str">
            <v>42338COLOMBIA</v>
          </cell>
          <cell r="D152" t="str">
            <v>COP</v>
          </cell>
          <cell r="E152">
            <v>5.6625849671774899</v>
          </cell>
          <cell r="F152">
            <v>4.0129576</v>
          </cell>
          <cell r="G152" t="str">
            <v>COLOMBIA</v>
          </cell>
          <cell r="H152">
            <v>5</v>
          </cell>
        </row>
        <row r="153">
          <cell r="B153" t="str">
            <v>42338CZK</v>
          </cell>
          <cell r="C153" t="str">
            <v>42338CZECH REPUBLIC</v>
          </cell>
          <cell r="D153" t="str">
            <v>CZK</v>
          </cell>
          <cell r="E153">
            <v>3.817219939843234</v>
          </cell>
          <cell r="F153">
            <v>1.4195892000000001</v>
          </cell>
          <cell r="G153" t="str">
            <v>CZECH REPUBLIC</v>
          </cell>
          <cell r="H153">
            <v>5</v>
          </cell>
        </row>
        <row r="154">
          <cell r="B154" t="str">
            <v>42338DKK</v>
          </cell>
          <cell r="C154" t="str">
            <v>42338DENMARK</v>
          </cell>
          <cell r="D154" t="str">
            <v>DKK</v>
          </cell>
          <cell r="E154">
            <v>3.9083065897722626</v>
          </cell>
          <cell r="F154">
            <v>1.5188858999999999</v>
          </cell>
          <cell r="G154" t="str">
            <v>DENMARK</v>
          </cell>
          <cell r="H154">
            <v>5</v>
          </cell>
        </row>
        <row r="155">
          <cell r="B155" t="str">
            <v>42338EGP</v>
          </cell>
          <cell r="C155" t="str">
            <v>42338EGYPT</v>
          </cell>
          <cell r="D155" t="str">
            <v>EGP</v>
          </cell>
          <cell r="E155">
            <v>11.585875407778161</v>
          </cell>
          <cell r="F155">
            <v>9.3323630000000009</v>
          </cell>
          <cell r="G155" t="str">
            <v>EGYPT</v>
          </cell>
          <cell r="H155">
            <v>5</v>
          </cell>
        </row>
        <row r="156">
          <cell r="B156" t="str">
            <v>42338EUR</v>
          </cell>
          <cell r="C156" t="str">
            <v>42338AUSTRIA</v>
          </cell>
          <cell r="D156" t="str">
            <v>EUR</v>
          </cell>
          <cell r="E156">
            <v>3.3352315657809752</v>
          </cell>
          <cell r="F156">
            <v>0.98606375400000001</v>
          </cell>
          <cell r="G156" t="str">
            <v>AUSTRIA</v>
          </cell>
          <cell r="H156">
            <v>5</v>
          </cell>
        </row>
        <row r="157">
          <cell r="B157" t="str">
            <v>42338GBP</v>
          </cell>
          <cell r="C157" t="str">
            <v>42338UNITED KINGDOM</v>
          </cell>
          <cell r="D157" t="str">
            <v>GBP</v>
          </cell>
          <cell r="E157">
            <v>3.7602072721388859</v>
          </cell>
          <cell r="F157">
            <v>1.1659204000000001</v>
          </cell>
          <cell r="G157" t="str">
            <v>UNITED KINGDOM</v>
          </cell>
          <cell r="H157">
            <v>5</v>
          </cell>
        </row>
        <row r="158">
          <cell r="B158" t="str">
            <v>42338HKD</v>
          </cell>
          <cell r="C158" t="str">
            <v>42338HONG KONG</v>
          </cell>
          <cell r="D158" t="str">
            <v>HKD</v>
          </cell>
          <cell r="E158">
            <v>5.3698565407867473</v>
          </cell>
          <cell r="F158">
            <v>1.6020681999999999</v>
          </cell>
          <cell r="G158" t="str">
            <v>HONG KONG</v>
          </cell>
          <cell r="H158">
            <v>3.5787939851459631</v>
          </cell>
        </row>
        <row r="159">
          <cell r="B159" t="str">
            <v>42338HUF</v>
          </cell>
          <cell r="C159" t="str">
            <v>42338HUNGARY</v>
          </cell>
          <cell r="D159" t="str">
            <v>HUF</v>
          </cell>
          <cell r="E159">
            <v>4.550240991131286</v>
          </cell>
          <cell r="F159">
            <v>1.8088592999999999</v>
          </cell>
          <cell r="G159" t="str">
            <v>HUNGARY</v>
          </cell>
          <cell r="H159">
            <v>5</v>
          </cell>
        </row>
        <row r="160">
          <cell r="B160" t="str">
            <v>42338IDR</v>
          </cell>
          <cell r="C160" t="str">
            <v>42338INDONESIA</v>
          </cell>
          <cell r="D160" t="str">
            <v>IDR</v>
          </cell>
          <cell r="E160">
            <v>7.3853914869320505</v>
          </cell>
          <cell r="F160">
            <v>5.2784534000000001</v>
          </cell>
          <cell r="G160" t="str">
            <v>INDONESIA</v>
          </cell>
          <cell r="H160">
            <v>5</v>
          </cell>
        </row>
        <row r="161">
          <cell r="B161" t="str">
            <v>42338ILS</v>
          </cell>
          <cell r="C161" t="str">
            <v>42338ISRAEL</v>
          </cell>
          <cell r="D161" t="str">
            <v>ILS</v>
          </cell>
          <cell r="E161">
            <v>3.8364586503774758</v>
          </cell>
          <cell r="F161">
            <v>0.99467282999999995</v>
          </cell>
          <cell r="G161" t="str">
            <v>ISRAEL</v>
          </cell>
          <cell r="H161">
            <v>5</v>
          </cell>
        </row>
        <row r="162">
          <cell r="B162" t="str">
            <v>42338INR</v>
          </cell>
          <cell r="C162" t="str">
            <v>42338INDIA</v>
          </cell>
          <cell r="D162" t="str">
            <v>INR</v>
          </cell>
          <cell r="E162">
            <v>7.5053317444017811</v>
          </cell>
          <cell r="F162">
            <v>5.1976595000000003</v>
          </cell>
          <cell r="G162" t="str">
            <v>INDIA</v>
          </cell>
          <cell r="H162">
            <v>5</v>
          </cell>
        </row>
        <row r="163">
          <cell r="B163" t="str">
            <v>42338IQD</v>
          </cell>
          <cell r="C163" t="str">
            <v>42338IRAQ</v>
          </cell>
          <cell r="D163" t="str">
            <v>IQD</v>
          </cell>
          <cell r="E163">
            <v>5.0242122627077093</v>
          </cell>
          <cell r="F163">
            <v>2.9063333</v>
          </cell>
          <cell r="G163" t="str">
            <v>IRAQ</v>
          </cell>
          <cell r="H163">
            <v>5</v>
          </cell>
        </row>
        <row r="164">
          <cell r="B164" t="str">
            <v>42338JPY</v>
          </cell>
          <cell r="C164" t="str">
            <v>42338JAPAN</v>
          </cell>
          <cell r="D164" t="str">
            <v>JPY</v>
          </cell>
          <cell r="E164">
            <v>3.2542629597647235</v>
          </cell>
          <cell r="F164">
            <v>0.76574450000000005</v>
          </cell>
          <cell r="G164" t="str">
            <v>JAPAN</v>
          </cell>
          <cell r="H164">
            <v>5</v>
          </cell>
        </row>
        <row r="165">
          <cell r="B165" t="str">
            <v>42338KES</v>
          </cell>
          <cell r="C165" t="str">
            <v>42338KENYA</v>
          </cell>
          <cell r="D165" t="str">
            <v>KES</v>
          </cell>
          <cell r="E165">
            <v>7.7105698935640046</v>
          </cell>
          <cell r="F165">
            <v>6.5</v>
          </cell>
          <cell r="G165" t="str">
            <v>KENYA</v>
          </cell>
          <cell r="H165">
            <v>5</v>
          </cell>
        </row>
        <row r="166">
          <cell r="B166" t="str">
            <v>42338KRW</v>
          </cell>
          <cell r="C166" t="str">
            <v>42338KOREA SOUTH(REPUBLIC OF KOREA)</v>
          </cell>
          <cell r="D166" t="str">
            <v>KRW</v>
          </cell>
          <cell r="E166">
            <v>4.5454409262545772</v>
          </cell>
          <cell r="F166">
            <v>1.4465106999999999</v>
          </cell>
          <cell r="G166" t="str">
            <v>KOREA SOUTH(REPUBLIC OF KOREA)</v>
          </cell>
          <cell r="H166">
            <v>5</v>
          </cell>
        </row>
        <row r="167">
          <cell r="B167" t="str">
            <v>42338KWD</v>
          </cell>
          <cell r="C167" t="str">
            <v>42338KUWAIT</v>
          </cell>
          <cell r="D167" t="str">
            <v>KWD</v>
          </cell>
          <cell r="E167">
            <v>5.669953575332535</v>
          </cell>
          <cell r="F167">
            <v>3.5</v>
          </cell>
          <cell r="G167" t="str">
            <v>KUWAIT</v>
          </cell>
          <cell r="H167">
            <v>5</v>
          </cell>
        </row>
        <row r="168">
          <cell r="B168" t="str">
            <v>42338KZT</v>
          </cell>
          <cell r="C168" t="str">
            <v>42338KAZAKHSTAN</v>
          </cell>
          <cell r="D168" t="str">
            <v>KZT</v>
          </cell>
          <cell r="E168">
            <v>9.3990001723787842</v>
          </cell>
          <cell r="F168">
            <v>8.3800833000000008</v>
          </cell>
          <cell r="G168" t="str">
            <v>KAZAKHSTAN</v>
          </cell>
          <cell r="H168">
            <v>5</v>
          </cell>
        </row>
        <row r="169">
          <cell r="B169" t="str">
            <v>42338LKR</v>
          </cell>
          <cell r="C169" t="str">
            <v>42338SRI LANKA</v>
          </cell>
          <cell r="D169" t="str">
            <v>LKR</v>
          </cell>
          <cell r="E169">
            <v>6.1325860123118838</v>
          </cell>
          <cell r="F169">
            <v>3.7749999999999999</v>
          </cell>
          <cell r="G169" t="str">
            <v>SRI LANKA</v>
          </cell>
          <cell r="H169">
            <v>5</v>
          </cell>
        </row>
        <row r="170">
          <cell r="B170" t="str">
            <v>42338MAD</v>
          </cell>
          <cell r="C170" t="str">
            <v>42338MOROCCO</v>
          </cell>
          <cell r="D170" t="str">
            <v>MAD</v>
          </cell>
          <cell r="E170">
            <v>4.1498033428810901</v>
          </cell>
          <cell r="F170">
            <v>1.5</v>
          </cell>
          <cell r="G170" t="str">
            <v>MOROCCO</v>
          </cell>
          <cell r="H170">
            <v>5</v>
          </cell>
        </row>
        <row r="171">
          <cell r="B171" t="str">
            <v>42338MXN</v>
          </cell>
          <cell r="C171" t="str">
            <v>42338MEXICO</v>
          </cell>
          <cell r="D171" t="str">
            <v>MXN</v>
          </cell>
          <cell r="E171">
            <v>5.2083704891747997</v>
          </cell>
          <cell r="F171">
            <v>3.3779870999999999</v>
          </cell>
          <cell r="G171" t="str">
            <v>MEXICO</v>
          </cell>
          <cell r="H171">
            <v>5</v>
          </cell>
        </row>
        <row r="172">
          <cell r="B172" t="str">
            <v>42338MYR</v>
          </cell>
          <cell r="C172" t="str">
            <v>42338MALAYSIA</v>
          </cell>
          <cell r="D172" t="str">
            <v>MYR</v>
          </cell>
          <cell r="E172">
            <v>5.289038357842605</v>
          </cell>
          <cell r="F172">
            <v>3.0104350000000002</v>
          </cell>
          <cell r="G172" t="str">
            <v>MALAYSIA</v>
          </cell>
          <cell r="H172">
            <v>5</v>
          </cell>
        </row>
        <row r="173">
          <cell r="B173" t="str">
            <v>42338NGN</v>
          </cell>
          <cell r="C173" t="str">
            <v>42338NIGERIA</v>
          </cell>
          <cell r="D173" t="str">
            <v>NGN</v>
          </cell>
          <cell r="E173">
            <v>10.77140503526706</v>
          </cell>
          <cell r="F173">
            <v>9.8241940000000003</v>
          </cell>
          <cell r="G173" t="str">
            <v>NIGERIA</v>
          </cell>
          <cell r="H173">
            <v>5</v>
          </cell>
        </row>
        <row r="174">
          <cell r="B174" t="str">
            <v>42338NOK</v>
          </cell>
          <cell r="C174" t="str">
            <v>42338NORWAY</v>
          </cell>
          <cell r="D174" t="str">
            <v>NOK</v>
          </cell>
          <cell r="E174">
            <v>4.5999267458624518</v>
          </cell>
          <cell r="F174">
            <v>2.3164747000000001</v>
          </cell>
          <cell r="G174" t="str">
            <v>NORWAY</v>
          </cell>
          <cell r="H174">
            <v>5</v>
          </cell>
        </row>
        <row r="175">
          <cell r="B175" t="str">
            <v>42338NZD</v>
          </cell>
          <cell r="C175" t="str">
            <v>42338NEW ZEALAND</v>
          </cell>
          <cell r="D175" t="str">
            <v>NZD</v>
          </cell>
          <cell r="E175">
            <v>3.7956002733151841</v>
          </cell>
          <cell r="F175">
            <v>1.5836074</v>
          </cell>
          <cell r="G175" t="str">
            <v>NEW ZEALAND</v>
          </cell>
          <cell r="H175">
            <v>5.4530502526175262</v>
          </cell>
        </row>
        <row r="176">
          <cell r="B176" t="str">
            <v>42338OMR</v>
          </cell>
          <cell r="C176" t="str">
            <v>42338OMAN</v>
          </cell>
          <cell r="D176" t="str">
            <v>OMR</v>
          </cell>
          <cell r="E176">
            <v>4.4482255110273519</v>
          </cell>
          <cell r="F176">
            <v>1.6020681999999999</v>
          </cell>
          <cell r="G176" t="str">
            <v>OMAN</v>
          </cell>
          <cell r="H176">
            <v>5</v>
          </cell>
        </row>
        <row r="177">
          <cell r="B177" t="str">
            <v>42338PEN</v>
          </cell>
          <cell r="C177" t="str">
            <v>42338PERU</v>
          </cell>
          <cell r="D177" t="str">
            <v>PEN</v>
          </cell>
          <cell r="E177">
            <v>4.6692131877545764</v>
          </cell>
          <cell r="F177">
            <v>3.212161</v>
          </cell>
          <cell r="G177" t="str">
            <v>PERU</v>
          </cell>
          <cell r="H177">
            <v>5</v>
          </cell>
        </row>
        <row r="178">
          <cell r="B178" t="str">
            <v>42338PHP</v>
          </cell>
          <cell r="C178" t="str">
            <v>42338PHILIPPINES</v>
          </cell>
          <cell r="D178" t="str">
            <v>PHP</v>
          </cell>
          <cell r="E178">
            <v>5.3904633216530087</v>
          </cell>
          <cell r="F178">
            <v>2.5027604000000001</v>
          </cell>
          <cell r="G178" t="str">
            <v>PHILIPPINES</v>
          </cell>
          <cell r="H178">
            <v>5</v>
          </cell>
        </row>
        <row r="179">
          <cell r="B179" t="str">
            <v>42338PKR</v>
          </cell>
          <cell r="C179" t="str">
            <v>42338PAKISTAN</v>
          </cell>
          <cell r="D179" t="str">
            <v>PKR</v>
          </cell>
          <cell r="E179">
            <v>7.1962804265149263</v>
          </cell>
          <cell r="F179">
            <v>4.7249999999999996</v>
          </cell>
          <cell r="G179" t="str">
            <v>PAKISTAN</v>
          </cell>
          <cell r="H179">
            <v>5</v>
          </cell>
        </row>
        <row r="180">
          <cell r="B180" t="str">
            <v>42338PLN</v>
          </cell>
          <cell r="C180" t="str">
            <v>42338POLAND</v>
          </cell>
          <cell r="D180" t="str">
            <v>PLN</v>
          </cell>
          <cell r="E180">
            <v>3.6358132610942375</v>
          </cell>
          <cell r="F180">
            <v>1.0701799999999999</v>
          </cell>
          <cell r="G180" t="str">
            <v>POLAND</v>
          </cell>
          <cell r="H180">
            <v>5</v>
          </cell>
        </row>
        <row r="181">
          <cell r="B181" t="str">
            <v>42338QAR</v>
          </cell>
          <cell r="C181" t="str">
            <v>42338QATAR</v>
          </cell>
          <cell r="D181" t="str">
            <v>QAR</v>
          </cell>
          <cell r="E181">
            <v>4.6723623927241977</v>
          </cell>
          <cell r="F181">
            <v>1.6020681999999999</v>
          </cell>
          <cell r="G181" t="str">
            <v>QATAR</v>
          </cell>
          <cell r="H181">
            <v>5</v>
          </cell>
        </row>
        <row r="182">
          <cell r="B182" t="str">
            <v>42338RON</v>
          </cell>
          <cell r="C182" t="str">
            <v>42338ROMANIA</v>
          </cell>
          <cell r="D182" t="str">
            <v>RON</v>
          </cell>
          <cell r="E182">
            <v>3.6204488094398837</v>
          </cell>
          <cell r="F182">
            <v>-0.19025265999999999</v>
          </cell>
          <cell r="G182" t="str">
            <v>ROMANIA</v>
          </cell>
          <cell r="H182">
            <v>5</v>
          </cell>
        </row>
        <row r="183">
          <cell r="B183" t="str">
            <v>42338RUB</v>
          </cell>
          <cell r="C183" t="str">
            <v>42338RUSSIAN FEDERATION</v>
          </cell>
          <cell r="D183" t="str">
            <v>RUB</v>
          </cell>
          <cell r="E183">
            <v>10.306426910337745</v>
          </cell>
          <cell r="F183">
            <v>7.7433120000000004</v>
          </cell>
          <cell r="G183" t="str">
            <v>RUSSIAN FEDERATION</v>
          </cell>
          <cell r="H183">
            <v>5</v>
          </cell>
        </row>
        <row r="184">
          <cell r="B184" t="str">
            <v>42338SAR</v>
          </cell>
          <cell r="C184" t="str">
            <v>42338SAUDI ARABIA</v>
          </cell>
          <cell r="D184" t="str">
            <v>SAR</v>
          </cell>
          <cell r="E184">
            <v>4.8683054536228267</v>
          </cell>
          <cell r="F184">
            <v>1.6020681999999999</v>
          </cell>
          <cell r="G184" t="str">
            <v>SAUDI ARABIA</v>
          </cell>
          <cell r="H184">
            <v>5</v>
          </cell>
        </row>
        <row r="185">
          <cell r="B185" t="str">
            <v>42338SEK</v>
          </cell>
          <cell r="C185" t="str">
            <v>42338SWEDEN</v>
          </cell>
          <cell r="D185" t="str">
            <v>SEK</v>
          </cell>
          <cell r="E185">
            <v>3.6829027147684803</v>
          </cell>
          <cell r="F185">
            <v>1.0811596000000001</v>
          </cell>
          <cell r="G185" t="str">
            <v>SWEDEN</v>
          </cell>
          <cell r="H185">
            <v>5</v>
          </cell>
        </row>
        <row r="186">
          <cell r="B186" t="str">
            <v>42338SGD</v>
          </cell>
          <cell r="C186" t="str">
            <v>42338SINGAPORE</v>
          </cell>
          <cell r="D186" t="str">
            <v>SGD</v>
          </cell>
          <cell r="E186">
            <v>3.7507255815726817</v>
          </cell>
          <cell r="F186">
            <v>0.73165595999999999</v>
          </cell>
          <cell r="G186" t="str">
            <v>SINGAPORE</v>
          </cell>
          <cell r="H186">
            <v>5</v>
          </cell>
        </row>
        <row r="187">
          <cell r="B187" t="str">
            <v>42338THB</v>
          </cell>
          <cell r="C187" t="str">
            <v>42338THAILAND</v>
          </cell>
          <cell r="D187" t="str">
            <v>THB</v>
          </cell>
          <cell r="E187">
            <v>3.6830237157572867</v>
          </cell>
          <cell r="F187">
            <v>1.3197112</v>
          </cell>
          <cell r="G187" t="str">
            <v>THAILAND</v>
          </cell>
          <cell r="H187">
            <v>6.0677018658153949</v>
          </cell>
        </row>
        <row r="188">
          <cell r="B188" t="str">
            <v>42338TRY</v>
          </cell>
          <cell r="C188" t="str">
            <v>42338TURKEY</v>
          </cell>
          <cell r="D188" t="str">
            <v>TRY</v>
          </cell>
          <cell r="E188">
            <v>9.0323375381532269</v>
          </cell>
          <cell r="F188">
            <v>7.4510154999999996</v>
          </cell>
          <cell r="G188" t="str">
            <v>TURKEY</v>
          </cell>
          <cell r="H188">
            <v>5</v>
          </cell>
        </row>
        <row r="189">
          <cell r="B189" t="str">
            <v>42338TWD</v>
          </cell>
          <cell r="C189" t="str">
            <v>42338TAIWAN</v>
          </cell>
          <cell r="D189" t="str">
            <v>TWD</v>
          </cell>
          <cell r="E189">
            <v>3.3478746216391944</v>
          </cell>
          <cell r="F189">
            <v>1.0343998999999999</v>
          </cell>
          <cell r="G189" t="str">
            <v>TAIWAN</v>
          </cell>
          <cell r="H189">
            <v>5</v>
          </cell>
        </row>
        <row r="190">
          <cell r="B190" t="str">
            <v>42338UAH</v>
          </cell>
          <cell r="C190" t="str">
            <v>42338UKRAINE</v>
          </cell>
          <cell r="D190" t="str">
            <v>UAH</v>
          </cell>
          <cell r="E190">
            <v>18.394039059892677</v>
          </cell>
          <cell r="F190">
            <v>19.984814</v>
          </cell>
          <cell r="G190" t="str">
            <v>UKRAINE</v>
          </cell>
          <cell r="H190">
            <v>5</v>
          </cell>
        </row>
        <row r="191">
          <cell r="B191" t="str">
            <v>42338USD</v>
          </cell>
          <cell r="C191" t="str">
            <v>42338UNITED STATES</v>
          </cell>
          <cell r="D191" t="str">
            <v>USD</v>
          </cell>
          <cell r="E191">
            <v>3.7543520469065319</v>
          </cell>
          <cell r="F191">
            <v>1.6020681999999999</v>
          </cell>
          <cell r="G191" t="str">
            <v>UNITED STATES</v>
          </cell>
          <cell r="H191">
            <v>5</v>
          </cell>
        </row>
        <row r="192">
          <cell r="B192" t="str">
            <v>42338VND</v>
          </cell>
          <cell r="C192" t="str">
            <v>42338VIET NAM</v>
          </cell>
          <cell r="D192" t="str">
            <v>VND</v>
          </cell>
          <cell r="E192">
            <v>5.7766957234542762</v>
          </cell>
          <cell r="F192">
            <v>3.6583332999999998</v>
          </cell>
          <cell r="G192" t="str">
            <v>VIET NAM</v>
          </cell>
          <cell r="H192">
            <v>5</v>
          </cell>
        </row>
        <row r="193">
          <cell r="B193" t="str">
            <v>42338ZAR</v>
          </cell>
          <cell r="C193" t="str">
            <v>42338SOUTH AFRICA</v>
          </cell>
          <cell r="D193" t="str">
            <v>ZAR</v>
          </cell>
          <cell r="E193">
            <v>7.7159820380363211</v>
          </cell>
          <cell r="F193">
            <v>5.8734583999999996</v>
          </cell>
          <cell r="G193" t="str">
            <v>SOUTH AFRICA</v>
          </cell>
          <cell r="H193">
            <v>5</v>
          </cell>
        </row>
        <row r="194">
          <cell r="B194" t="str">
            <v>42338EUR1</v>
          </cell>
          <cell r="C194" t="str">
            <v>42338BELGIUM</v>
          </cell>
          <cell r="D194" t="str">
            <v>EUR1</v>
          </cell>
          <cell r="E194">
            <v>3.3352315657809752</v>
          </cell>
          <cell r="G194" t="str">
            <v>BELGIUM</v>
          </cell>
          <cell r="H194">
            <v>5</v>
          </cell>
        </row>
        <row r="195">
          <cell r="B195" t="str">
            <v>42338EUR2</v>
          </cell>
          <cell r="C195" t="str">
            <v>42338CYPRUS</v>
          </cell>
          <cell r="D195" t="str">
            <v>EUR2</v>
          </cell>
          <cell r="E195">
            <v>3.3352315657809752</v>
          </cell>
          <cell r="G195" t="str">
            <v>CYPRUS</v>
          </cell>
          <cell r="H195">
            <v>5</v>
          </cell>
        </row>
        <row r="196">
          <cell r="B196" t="str">
            <v>42338EUR3</v>
          </cell>
          <cell r="C196" t="str">
            <v>42338ESTONIA</v>
          </cell>
          <cell r="D196" t="str">
            <v>EUR3</v>
          </cell>
          <cell r="E196">
            <v>3.3352315657809752</v>
          </cell>
          <cell r="G196" t="str">
            <v>ESTONIA</v>
          </cell>
          <cell r="H196">
            <v>5</v>
          </cell>
        </row>
        <row r="197">
          <cell r="B197" t="str">
            <v>42338EUR4</v>
          </cell>
          <cell r="C197" t="str">
            <v>42338FINLAND</v>
          </cell>
          <cell r="D197" t="str">
            <v>EUR4</v>
          </cell>
          <cell r="E197">
            <v>3.3352315657809752</v>
          </cell>
          <cell r="G197" t="str">
            <v>FINLAND</v>
          </cell>
          <cell r="H197">
            <v>5</v>
          </cell>
        </row>
        <row r="198">
          <cell r="B198" t="str">
            <v>42338EUR5</v>
          </cell>
          <cell r="C198" t="str">
            <v>42338FRANCE</v>
          </cell>
          <cell r="D198" t="str">
            <v>EUR5</v>
          </cell>
          <cell r="E198">
            <v>3.3352315657809752</v>
          </cell>
          <cell r="G198" t="str">
            <v>FRANCE</v>
          </cell>
          <cell r="H198">
            <v>5</v>
          </cell>
        </row>
        <row r="199">
          <cell r="B199" t="str">
            <v>42338EUR6</v>
          </cell>
          <cell r="C199" t="str">
            <v>42338GERMANY</v>
          </cell>
          <cell r="D199" t="str">
            <v>EUR6</v>
          </cell>
          <cell r="E199">
            <v>3.3352315657809752</v>
          </cell>
          <cell r="G199" t="str">
            <v>GERMANY</v>
          </cell>
          <cell r="H199">
            <v>5.1604940996504878</v>
          </cell>
        </row>
        <row r="200">
          <cell r="B200" t="str">
            <v>42338EUR7</v>
          </cell>
          <cell r="C200" t="str">
            <v>42338GREECE</v>
          </cell>
          <cell r="D200" t="str">
            <v>EUR7</v>
          </cell>
          <cell r="E200">
            <v>3.3352315657809752</v>
          </cell>
          <cell r="G200" t="str">
            <v>GREECE</v>
          </cell>
          <cell r="H200">
            <v>10</v>
          </cell>
        </row>
        <row r="201">
          <cell r="B201" t="str">
            <v>42338EUR8</v>
          </cell>
          <cell r="C201" t="str">
            <v>42338IRELAND</v>
          </cell>
          <cell r="D201" t="str">
            <v>EUR8</v>
          </cell>
          <cell r="E201">
            <v>3.3352315657809752</v>
          </cell>
          <cell r="G201" t="str">
            <v>IRELAND</v>
          </cell>
          <cell r="H201">
            <v>5</v>
          </cell>
        </row>
        <row r="202">
          <cell r="B202" t="str">
            <v>42338EUR9</v>
          </cell>
          <cell r="C202" t="str">
            <v>42338ITALY</v>
          </cell>
          <cell r="D202" t="str">
            <v>EUR9</v>
          </cell>
          <cell r="E202">
            <v>3.3352315657809752</v>
          </cell>
          <cell r="G202" t="str">
            <v>ITALY</v>
          </cell>
          <cell r="H202">
            <v>5</v>
          </cell>
        </row>
        <row r="203">
          <cell r="B203" t="str">
            <v>42338EUR10</v>
          </cell>
          <cell r="C203" t="str">
            <v>42338LATVIA</v>
          </cell>
          <cell r="D203" t="str">
            <v>EUR10</v>
          </cell>
          <cell r="E203">
            <v>3.3352315657809752</v>
          </cell>
          <cell r="G203" t="str">
            <v>LATVIA</v>
          </cell>
          <cell r="H203">
            <v>5</v>
          </cell>
        </row>
        <row r="204">
          <cell r="B204" t="str">
            <v>42338EUR11</v>
          </cell>
          <cell r="C204" t="str">
            <v>42338LUXEMBOURG</v>
          </cell>
          <cell r="D204" t="str">
            <v>EUR11</v>
          </cell>
          <cell r="E204">
            <v>3.3352315657809752</v>
          </cell>
          <cell r="G204" t="str">
            <v>LUXEMBOURG</v>
          </cell>
          <cell r="H204">
            <v>5</v>
          </cell>
        </row>
        <row r="205">
          <cell r="B205" t="str">
            <v>42338EUR12</v>
          </cell>
          <cell r="C205" t="str">
            <v>42338MALTA</v>
          </cell>
          <cell r="D205" t="str">
            <v>EUR12</v>
          </cell>
          <cell r="E205">
            <v>3.3352315657809752</v>
          </cell>
          <cell r="G205" t="str">
            <v>MALTA</v>
          </cell>
          <cell r="H205">
            <v>5</v>
          </cell>
        </row>
        <row r="206">
          <cell r="B206" t="str">
            <v>42338EUR13</v>
          </cell>
          <cell r="C206" t="str">
            <v>42338MONTENEGRO</v>
          </cell>
          <cell r="D206" t="str">
            <v>EUR13</v>
          </cell>
          <cell r="E206">
            <v>3.3352315657809752</v>
          </cell>
          <cell r="G206" t="str">
            <v>MONTENEGRO</v>
          </cell>
          <cell r="H206">
            <v>5</v>
          </cell>
        </row>
        <row r="207">
          <cell r="B207" t="str">
            <v>42338EUR14</v>
          </cell>
          <cell r="C207" t="str">
            <v>42338NETHERLANDS</v>
          </cell>
          <cell r="D207" t="str">
            <v>EUR14</v>
          </cell>
          <cell r="E207">
            <v>3.3352315657809752</v>
          </cell>
          <cell r="G207" t="str">
            <v>NETHERLANDS</v>
          </cell>
          <cell r="H207">
            <v>5</v>
          </cell>
        </row>
        <row r="208">
          <cell r="B208" t="str">
            <v>42338EUR15</v>
          </cell>
          <cell r="C208" t="str">
            <v>42338PORTUGAL</v>
          </cell>
          <cell r="D208" t="str">
            <v>EUR15</v>
          </cell>
          <cell r="E208">
            <v>3.3352315657809752</v>
          </cell>
          <cell r="G208" t="str">
            <v>PORTUGAL</v>
          </cell>
          <cell r="H208">
            <v>5</v>
          </cell>
        </row>
        <row r="209">
          <cell r="B209" t="str">
            <v>42338EUR16</v>
          </cell>
          <cell r="C209" t="str">
            <v>42338SLOVAKIA</v>
          </cell>
          <cell r="D209" t="str">
            <v>EUR16</v>
          </cell>
          <cell r="E209">
            <v>3.3352315657809752</v>
          </cell>
          <cell r="G209" t="str">
            <v>SLOVAKIA</v>
          </cell>
          <cell r="H209">
            <v>5</v>
          </cell>
        </row>
        <row r="210">
          <cell r="B210" t="str">
            <v>42338EUR17</v>
          </cell>
          <cell r="C210" t="str">
            <v>42338SLOVENIA</v>
          </cell>
          <cell r="D210" t="str">
            <v>EUR17</v>
          </cell>
          <cell r="E210">
            <v>3.3352315657809752</v>
          </cell>
          <cell r="G210" t="str">
            <v>SLOVENIA</v>
          </cell>
          <cell r="H210">
            <v>5</v>
          </cell>
        </row>
        <row r="211">
          <cell r="B211" t="str">
            <v>42338EUR18</v>
          </cell>
          <cell r="C211" t="str">
            <v>42338SPAIN</v>
          </cell>
          <cell r="D211" t="str">
            <v>EUR18</v>
          </cell>
          <cell r="E211">
            <v>3.3352315657809752</v>
          </cell>
          <cell r="G211" t="str">
            <v>SPAIN</v>
          </cell>
          <cell r="H211">
            <v>5</v>
          </cell>
        </row>
        <row r="212">
          <cell r="B212" t="str">
            <v>42369AED</v>
          </cell>
          <cell r="C212" t="str">
            <v>42369U. A. E.</v>
          </cell>
          <cell r="D212" t="str">
            <v>AED</v>
          </cell>
          <cell r="E212">
            <v>5.299649493533968</v>
          </cell>
          <cell r="F212">
            <v>1.7006258999999999</v>
          </cell>
          <cell r="G212" t="str">
            <v>U. A. E.</v>
          </cell>
          <cell r="H212">
            <v>6</v>
          </cell>
        </row>
        <row r="213">
          <cell r="B213" t="str">
            <v>42369ARS</v>
          </cell>
          <cell r="C213" t="str">
            <v>42369ARGENTINA</v>
          </cell>
          <cell r="D213" t="str">
            <v>ARS</v>
          </cell>
          <cell r="E213">
            <v>25.118245172144984</v>
          </cell>
          <cell r="F213">
            <v>31.788546</v>
          </cell>
          <cell r="G213" t="str">
            <v>ARGENTINA</v>
          </cell>
          <cell r="H213">
            <v>5</v>
          </cell>
        </row>
        <row r="214">
          <cell r="B214" t="str">
            <v>42369AUD</v>
          </cell>
          <cell r="C214" t="str">
            <v>42369AUSTRALIA</v>
          </cell>
          <cell r="D214" t="str">
            <v>AUD</v>
          </cell>
          <cell r="E214">
            <v>4.611220469902281</v>
          </cell>
          <cell r="F214">
            <v>2.4104804999999998</v>
          </cell>
          <cell r="G214" t="str">
            <v>AUSTRALIA</v>
          </cell>
          <cell r="H214">
            <v>4.6374300560304293</v>
          </cell>
        </row>
        <row r="215">
          <cell r="B215" t="str">
            <v>42369BDT</v>
          </cell>
          <cell r="C215" t="str">
            <v>42369BANGLADESH</v>
          </cell>
          <cell r="D215" t="str">
            <v>BDT</v>
          </cell>
          <cell r="E215">
            <v>8.8206939891289515</v>
          </cell>
          <cell r="F215">
            <v>6.3</v>
          </cell>
          <cell r="G215" t="str">
            <v>BANGLADESH</v>
          </cell>
          <cell r="H215">
            <v>5</v>
          </cell>
        </row>
        <row r="216">
          <cell r="B216" t="str">
            <v>42369BRL</v>
          </cell>
          <cell r="C216" t="str">
            <v>42369BRAZIL</v>
          </cell>
          <cell r="D216" t="str">
            <v>BRL</v>
          </cell>
          <cell r="E216">
            <v>8.2780214549920608</v>
          </cell>
          <cell r="F216">
            <v>6.6228309999999997</v>
          </cell>
          <cell r="G216" t="str">
            <v>BRAZIL</v>
          </cell>
          <cell r="H216">
            <v>5</v>
          </cell>
        </row>
        <row r="217">
          <cell r="B217" t="str">
            <v>42369BWP</v>
          </cell>
          <cell r="C217" t="str">
            <v>42369BOTSWANA</v>
          </cell>
          <cell r="D217" t="str">
            <v>BWP</v>
          </cell>
          <cell r="E217">
            <v>6.5670893390217957</v>
          </cell>
          <cell r="F217">
            <v>4.3550000000000004</v>
          </cell>
          <cell r="G217" t="str">
            <v>BOTSWANA</v>
          </cell>
          <cell r="H217">
            <v>5</v>
          </cell>
        </row>
        <row r="218">
          <cell r="B218" t="str">
            <v>42369CAD</v>
          </cell>
          <cell r="C218" t="str">
            <v>42369CANADA</v>
          </cell>
          <cell r="D218" t="str">
            <v>CAD</v>
          </cell>
          <cell r="E218">
            <v>4.0912501559647687</v>
          </cell>
          <cell r="F218">
            <v>1.9147896</v>
          </cell>
          <cell r="G218" t="str">
            <v>CANADA</v>
          </cell>
          <cell r="H218">
            <v>5</v>
          </cell>
        </row>
        <row r="219">
          <cell r="B219" t="str">
            <v>42369CHF</v>
          </cell>
          <cell r="C219" t="str">
            <v>42369SWITZERLAND</v>
          </cell>
          <cell r="D219" t="str">
            <v>CHF</v>
          </cell>
          <cell r="E219">
            <v>2.4217635718133215</v>
          </cell>
          <cell r="F219">
            <v>-0.29668644</v>
          </cell>
          <cell r="G219" t="str">
            <v>SWITZERLAND</v>
          </cell>
          <cell r="H219">
            <v>5</v>
          </cell>
        </row>
        <row r="220">
          <cell r="B220" t="str">
            <v>42369CLP</v>
          </cell>
          <cell r="C220" t="str">
            <v>42369CHILE</v>
          </cell>
          <cell r="D220" t="str">
            <v>CLP</v>
          </cell>
          <cell r="E220">
            <v>5.6565771708428505</v>
          </cell>
          <cell r="F220">
            <v>3.4220571999999998</v>
          </cell>
          <cell r="G220" t="str">
            <v>CHILE</v>
          </cell>
          <cell r="H220">
            <v>5</v>
          </cell>
        </row>
        <row r="221">
          <cell r="B221" t="str">
            <v>42369CNY</v>
          </cell>
          <cell r="C221" t="str">
            <v>42369CHINA</v>
          </cell>
          <cell r="D221" t="str">
            <v>CNY</v>
          </cell>
          <cell r="E221">
            <v>4.4486505259327105</v>
          </cell>
          <cell r="F221">
            <v>1.7006528000000001</v>
          </cell>
          <cell r="G221" t="str">
            <v>CHINA</v>
          </cell>
          <cell r="H221">
            <v>5</v>
          </cell>
        </row>
        <row r="222">
          <cell r="B222" t="str">
            <v>42369COP</v>
          </cell>
          <cell r="C222" t="str">
            <v>42369COLOMBIA</v>
          </cell>
          <cell r="D222" t="str">
            <v>COP</v>
          </cell>
          <cell r="E222">
            <v>5.6625849671774899</v>
          </cell>
          <cell r="F222">
            <v>4.0797280000000002</v>
          </cell>
          <cell r="G222" t="str">
            <v>COLOMBIA</v>
          </cell>
          <cell r="H222">
            <v>5</v>
          </cell>
        </row>
        <row r="223">
          <cell r="B223" t="str">
            <v>42369CZK</v>
          </cell>
          <cell r="C223" t="str">
            <v>42369CZECH REPUBLIC</v>
          </cell>
          <cell r="D223" t="str">
            <v>CZK</v>
          </cell>
          <cell r="E223">
            <v>3.817219939843234</v>
          </cell>
          <cell r="F223">
            <v>1.3469622999999999</v>
          </cell>
          <cell r="G223" t="str">
            <v>CZECH REPUBLIC</v>
          </cell>
          <cell r="H223">
            <v>5</v>
          </cell>
        </row>
        <row r="224">
          <cell r="B224" t="str">
            <v>42369DKK</v>
          </cell>
          <cell r="C224" t="str">
            <v>42369DENMARK</v>
          </cell>
          <cell r="D224" t="str">
            <v>DKK</v>
          </cell>
          <cell r="E224">
            <v>3.9083065897722626</v>
          </cell>
          <cell r="F224">
            <v>1.4369757999999999</v>
          </cell>
          <cell r="G224" t="str">
            <v>DENMARK</v>
          </cell>
          <cell r="H224">
            <v>5</v>
          </cell>
        </row>
        <row r="225">
          <cell r="B225" t="str">
            <v>42369EGP</v>
          </cell>
          <cell r="C225" t="str">
            <v>42369EGYPT</v>
          </cell>
          <cell r="D225" t="str">
            <v>EGP</v>
          </cell>
          <cell r="E225">
            <v>11.585875407778161</v>
          </cell>
          <cell r="F225">
            <v>9.6390419999999999</v>
          </cell>
          <cell r="G225" t="str">
            <v>EGYPT</v>
          </cell>
          <cell r="H225">
            <v>5</v>
          </cell>
        </row>
        <row r="226">
          <cell r="B226" t="str">
            <v>42369EUR</v>
          </cell>
          <cell r="C226" t="str">
            <v>42369AUSTRIA</v>
          </cell>
          <cell r="D226" t="str">
            <v>EUR</v>
          </cell>
          <cell r="E226">
            <v>3.3352315657809752</v>
          </cell>
          <cell r="F226">
            <v>1.0399</v>
          </cell>
          <cell r="G226" t="str">
            <v>AUSTRIA</v>
          </cell>
          <cell r="H226">
            <v>5</v>
          </cell>
        </row>
        <row r="227">
          <cell r="B227" t="str">
            <v>42369GBP</v>
          </cell>
          <cell r="C227" t="str">
            <v>42369UNITED KINGDOM</v>
          </cell>
          <cell r="D227" t="str">
            <v>GBP</v>
          </cell>
          <cell r="E227">
            <v>3.7602072721388859</v>
          </cell>
          <cell r="F227">
            <v>1.1386039999999999</v>
          </cell>
          <cell r="G227" t="str">
            <v>UNITED KINGDOM</v>
          </cell>
          <cell r="H227">
            <v>5</v>
          </cell>
        </row>
        <row r="228">
          <cell r="B228" t="str">
            <v>42369HKD</v>
          </cell>
          <cell r="C228" t="str">
            <v>42369HONG KONG</v>
          </cell>
          <cell r="D228" t="str">
            <v>HKD</v>
          </cell>
          <cell r="E228">
            <v>5.3698565407867473</v>
          </cell>
          <cell r="F228">
            <v>1.7006258999999999</v>
          </cell>
          <cell r="G228" t="str">
            <v>HONG KONG</v>
          </cell>
          <cell r="H228">
            <v>3.5787939851459631</v>
          </cell>
        </row>
        <row r="229">
          <cell r="B229" t="str">
            <v>42369HUF</v>
          </cell>
          <cell r="C229" t="str">
            <v>42369HUNGARY</v>
          </cell>
          <cell r="D229" t="str">
            <v>HUF</v>
          </cell>
          <cell r="E229">
            <v>4.550240991131286</v>
          </cell>
          <cell r="F229">
            <v>1.9026227</v>
          </cell>
          <cell r="G229" t="str">
            <v>HUNGARY</v>
          </cell>
          <cell r="H229">
            <v>5</v>
          </cell>
        </row>
        <row r="230">
          <cell r="B230" t="str">
            <v>42369IDR</v>
          </cell>
          <cell r="C230" t="str">
            <v>42369INDONESIA</v>
          </cell>
          <cell r="D230" t="str">
            <v>IDR</v>
          </cell>
          <cell r="E230">
            <v>7.3853914869320505</v>
          </cell>
          <cell r="F230">
            <v>4.8624124999999996</v>
          </cell>
          <cell r="G230" t="str">
            <v>INDONESIA</v>
          </cell>
          <cell r="H230">
            <v>5</v>
          </cell>
        </row>
        <row r="231">
          <cell r="B231" t="str">
            <v>42369ILS</v>
          </cell>
          <cell r="C231" t="str">
            <v>42369ISRAEL</v>
          </cell>
          <cell r="D231" t="str">
            <v>ILS</v>
          </cell>
          <cell r="E231">
            <v>3.8364586503774758</v>
          </cell>
          <cell r="F231">
            <v>0.84370445999999999</v>
          </cell>
          <cell r="G231" t="str">
            <v>ISRAEL</v>
          </cell>
          <cell r="H231">
            <v>5</v>
          </cell>
        </row>
        <row r="232">
          <cell r="B232" t="str">
            <v>42369INR</v>
          </cell>
          <cell r="C232" t="str">
            <v>42369INDIA</v>
          </cell>
          <cell r="D232" t="str">
            <v>INR</v>
          </cell>
          <cell r="E232">
            <v>7.5053317444017811</v>
          </cell>
          <cell r="F232">
            <v>5.2725334000000004</v>
          </cell>
          <cell r="G232" t="str">
            <v>INDIA</v>
          </cell>
          <cell r="H232">
            <v>5</v>
          </cell>
        </row>
        <row r="233">
          <cell r="B233" t="str">
            <v>42369IQD</v>
          </cell>
          <cell r="C233" t="str">
            <v>42369IRAQ</v>
          </cell>
          <cell r="D233" t="str">
            <v>IQD</v>
          </cell>
          <cell r="E233">
            <v>5.0242122627077093</v>
          </cell>
          <cell r="F233">
            <v>3</v>
          </cell>
          <cell r="G233" t="str">
            <v>IRAQ</v>
          </cell>
          <cell r="H233">
            <v>6</v>
          </cell>
        </row>
        <row r="234">
          <cell r="B234" t="str">
            <v>42369JPY</v>
          </cell>
          <cell r="C234" t="str">
            <v>42369JAPAN</v>
          </cell>
          <cell r="D234" t="str">
            <v>JPY</v>
          </cell>
          <cell r="E234">
            <v>3.2542629597647235</v>
          </cell>
          <cell r="F234">
            <v>0.72125110000000003</v>
          </cell>
          <cell r="G234" t="str">
            <v>JAPAN</v>
          </cell>
          <cell r="H234">
            <v>5</v>
          </cell>
        </row>
        <row r="235">
          <cell r="B235" t="str">
            <v>42369KES</v>
          </cell>
          <cell r="C235" t="str">
            <v>42369KENYA</v>
          </cell>
          <cell r="D235" t="str">
            <v>KES</v>
          </cell>
          <cell r="E235">
            <v>7.7105698935640046</v>
          </cell>
          <cell r="F235">
            <v>6.5</v>
          </cell>
          <cell r="G235" t="str">
            <v>KENYA</v>
          </cell>
          <cell r="H235">
            <v>5</v>
          </cell>
        </row>
        <row r="236">
          <cell r="B236" t="str">
            <v>42369KRW</v>
          </cell>
          <cell r="C236" t="str">
            <v>42369KOREA SOUTH(REPUBLIC OF KOREA)</v>
          </cell>
          <cell r="D236" t="str">
            <v>KRW</v>
          </cell>
          <cell r="E236">
            <v>4.5454409262545772</v>
          </cell>
          <cell r="F236">
            <v>1.4778936</v>
          </cell>
          <cell r="G236" t="str">
            <v>KOREA SOUTH(REPUBLIC OF KOREA)</v>
          </cell>
          <cell r="H236">
            <v>5</v>
          </cell>
        </row>
        <row r="237">
          <cell r="B237" t="str">
            <v>42369KWD</v>
          </cell>
          <cell r="C237" t="str">
            <v>42369KUWAIT</v>
          </cell>
          <cell r="D237" t="str">
            <v>KWD</v>
          </cell>
          <cell r="E237">
            <v>5.669953575332535</v>
          </cell>
          <cell r="F237">
            <v>3.5</v>
          </cell>
          <cell r="G237" t="str">
            <v>KUWAIT</v>
          </cell>
          <cell r="H237">
            <v>6</v>
          </cell>
        </row>
        <row r="238">
          <cell r="B238" t="str">
            <v>42369LKR</v>
          </cell>
          <cell r="C238" t="str">
            <v>42369SRI LANKA</v>
          </cell>
          <cell r="D238" t="str">
            <v>LKR</v>
          </cell>
          <cell r="E238">
            <v>6.1325860123118838</v>
          </cell>
          <cell r="F238">
            <v>3.9</v>
          </cell>
          <cell r="G238" t="str">
            <v>SRI LANKA</v>
          </cell>
          <cell r="H238">
            <v>5</v>
          </cell>
        </row>
        <row r="239">
          <cell r="B239" t="str">
            <v>42369KZT</v>
          </cell>
          <cell r="C239" t="str">
            <v>42369KAZAKHSTAN</v>
          </cell>
          <cell r="D239" t="str">
            <v>KZT</v>
          </cell>
          <cell r="E239">
            <v>9.3990001723787842</v>
          </cell>
          <cell r="F239">
            <v>8.57</v>
          </cell>
          <cell r="G239" t="str">
            <v>KAZAKHSTAN</v>
          </cell>
          <cell r="H239">
            <v>5</v>
          </cell>
        </row>
        <row r="240">
          <cell r="B240" t="str">
            <v>42369MAD</v>
          </cell>
          <cell r="C240" t="str">
            <v>42369MOROCCO</v>
          </cell>
          <cell r="D240" t="str">
            <v>MAD</v>
          </cell>
          <cell r="E240">
            <v>4.1498033428810901</v>
          </cell>
          <cell r="F240">
            <v>1.5</v>
          </cell>
          <cell r="G240" t="str">
            <v>MOROCCO</v>
          </cell>
          <cell r="H240">
            <v>5</v>
          </cell>
        </row>
        <row r="241">
          <cell r="B241" t="str">
            <v>42369MXN</v>
          </cell>
          <cell r="C241" t="str">
            <v>42369MEXICO</v>
          </cell>
          <cell r="D241" t="str">
            <v>MXN</v>
          </cell>
          <cell r="E241">
            <v>5.2083704891747997</v>
          </cell>
          <cell r="F241">
            <v>3.3264358000000001</v>
          </cell>
          <cell r="G241" t="str">
            <v>MEXICO</v>
          </cell>
          <cell r="H241">
            <v>5</v>
          </cell>
        </row>
        <row r="242">
          <cell r="B242" t="str">
            <v>42369MYR</v>
          </cell>
          <cell r="C242" t="str">
            <v>42369MALAYSIA</v>
          </cell>
          <cell r="D242" t="str">
            <v>MYR</v>
          </cell>
          <cell r="E242">
            <v>5.289038357842605</v>
          </cell>
          <cell r="F242">
            <v>3.0220107999999999</v>
          </cell>
          <cell r="G242" t="str">
            <v>MALAYSIA</v>
          </cell>
          <cell r="H242">
            <v>5</v>
          </cell>
        </row>
        <row r="243">
          <cell r="B243" t="str">
            <v>42369NGN</v>
          </cell>
          <cell r="C243" t="str">
            <v>42369NIGERIA</v>
          </cell>
          <cell r="D243" t="str">
            <v>NGN</v>
          </cell>
          <cell r="E243">
            <v>10.77140503526706</v>
          </cell>
          <cell r="F243">
            <v>9.9646080000000001</v>
          </cell>
          <cell r="G243" t="str">
            <v>NIGERIA</v>
          </cell>
          <cell r="H243">
            <v>5</v>
          </cell>
        </row>
        <row r="244">
          <cell r="B244" t="str">
            <v>42369NOK</v>
          </cell>
          <cell r="C244" t="str">
            <v>42369NORWAY</v>
          </cell>
          <cell r="D244" t="str">
            <v>NOK</v>
          </cell>
          <cell r="E244">
            <v>4.5999267458624518</v>
          </cell>
          <cell r="F244">
            <v>2.4895193999999998</v>
          </cell>
          <cell r="G244" t="str">
            <v>NORWAY</v>
          </cell>
          <cell r="H244">
            <v>5</v>
          </cell>
        </row>
        <row r="245">
          <cell r="B245" t="str">
            <v>42369NZD</v>
          </cell>
          <cell r="C245" t="str">
            <v>42369NEW ZEALAND</v>
          </cell>
          <cell r="D245" t="str">
            <v>NZD</v>
          </cell>
          <cell r="E245">
            <v>3.7956002733151841</v>
          </cell>
          <cell r="F245">
            <v>1.6704615</v>
          </cell>
          <cell r="G245" t="str">
            <v>NEW ZEALAND</v>
          </cell>
          <cell r="H245">
            <v>5.4530502526175262</v>
          </cell>
        </row>
        <row r="246">
          <cell r="B246" t="str">
            <v>42369OMR</v>
          </cell>
          <cell r="C246" t="str">
            <v>42369OMAN</v>
          </cell>
          <cell r="D246" t="str">
            <v>OMR</v>
          </cell>
          <cell r="E246">
            <v>4.4482255110273519</v>
          </cell>
          <cell r="F246">
            <v>1.7006258999999999</v>
          </cell>
          <cell r="G246" t="str">
            <v>OMAN</v>
          </cell>
          <cell r="H246">
            <v>6</v>
          </cell>
        </row>
        <row r="247">
          <cell r="B247" t="str">
            <v>42369PEN</v>
          </cell>
          <cell r="C247" t="str">
            <v>42369PERU</v>
          </cell>
          <cell r="D247" t="str">
            <v>PEN</v>
          </cell>
          <cell r="E247">
            <v>4.6692131877545764</v>
          </cell>
          <cell r="F247">
            <v>3.2459986000000001</v>
          </cell>
          <cell r="G247" t="str">
            <v>PERU</v>
          </cell>
          <cell r="H247">
            <v>5</v>
          </cell>
        </row>
        <row r="248">
          <cell r="B248" t="str">
            <v>42369PHP</v>
          </cell>
          <cell r="C248" t="str">
            <v>42369PHILIPPINES</v>
          </cell>
          <cell r="D248" t="str">
            <v>PHP</v>
          </cell>
          <cell r="E248">
            <v>5.3904633216530087</v>
          </cell>
          <cell r="F248">
            <v>2.4938380000000002</v>
          </cell>
          <cell r="G248" t="str">
            <v>PHILIPPINES</v>
          </cell>
          <cell r="H248">
            <v>5</v>
          </cell>
        </row>
        <row r="249">
          <cell r="B249" t="str">
            <v>42369PKR</v>
          </cell>
          <cell r="C249" t="str">
            <v>42369PAKISTAN</v>
          </cell>
          <cell r="D249" t="str">
            <v>PKR</v>
          </cell>
          <cell r="E249">
            <v>7.1962804265149263</v>
          </cell>
          <cell r="F249">
            <v>5.2</v>
          </cell>
          <cell r="G249" t="str">
            <v>PAKISTAN</v>
          </cell>
          <cell r="H249">
            <v>5</v>
          </cell>
        </row>
        <row r="250">
          <cell r="B250" t="str">
            <v>42369PLN</v>
          </cell>
          <cell r="C250" t="str">
            <v>42369POLAND</v>
          </cell>
          <cell r="D250" t="str">
            <v>PLN</v>
          </cell>
          <cell r="E250">
            <v>3.6358132610942375</v>
          </cell>
          <cell r="F250">
            <v>1.1570753</v>
          </cell>
          <cell r="G250" t="str">
            <v>POLAND</v>
          </cell>
          <cell r="H250">
            <v>5</v>
          </cell>
        </row>
        <row r="251">
          <cell r="B251" t="str">
            <v>42369QAR</v>
          </cell>
          <cell r="C251" t="str">
            <v>42369QATAR</v>
          </cell>
          <cell r="D251" t="str">
            <v>QAR</v>
          </cell>
          <cell r="E251">
            <v>4.6723623927241977</v>
          </cell>
          <cell r="F251">
            <v>1.7006258999999999</v>
          </cell>
          <cell r="G251" t="str">
            <v>QATAR</v>
          </cell>
          <cell r="H251">
            <v>6</v>
          </cell>
        </row>
        <row r="252">
          <cell r="B252" t="str">
            <v>42369RON</v>
          </cell>
          <cell r="C252" t="str">
            <v>42369ROMANIA</v>
          </cell>
          <cell r="D252" t="str">
            <v>RON</v>
          </cell>
          <cell r="E252">
            <v>3.6204488094398837</v>
          </cell>
          <cell r="F252">
            <v>-0.18888994000000001</v>
          </cell>
          <cell r="G252" t="str">
            <v>ROMANIA</v>
          </cell>
          <cell r="H252">
            <v>5</v>
          </cell>
        </row>
        <row r="253">
          <cell r="B253" t="str">
            <v>42369RUB</v>
          </cell>
          <cell r="C253" t="str">
            <v>42369RUSSIAN FEDERATION</v>
          </cell>
          <cell r="D253" t="str">
            <v>RUB</v>
          </cell>
          <cell r="E253">
            <v>10.306426910337745</v>
          </cell>
          <cell r="F253">
            <v>7.2920011999999996</v>
          </cell>
          <cell r="G253" t="str">
            <v>RUSSIAN FEDERATION</v>
          </cell>
          <cell r="H253">
            <v>6</v>
          </cell>
        </row>
        <row r="254">
          <cell r="B254" t="str">
            <v>42369SAR</v>
          </cell>
          <cell r="C254" t="str">
            <v>42369SAUDI ARABIA</v>
          </cell>
          <cell r="D254" t="str">
            <v>SAR</v>
          </cell>
          <cell r="E254">
            <v>4.8683054536228267</v>
          </cell>
          <cell r="F254">
            <v>1.7006258999999999</v>
          </cell>
          <cell r="G254" t="str">
            <v>SAUDI ARABIA</v>
          </cell>
          <cell r="H254">
            <v>6</v>
          </cell>
        </row>
        <row r="255">
          <cell r="B255" t="str">
            <v>42369SEK</v>
          </cell>
          <cell r="C255" t="str">
            <v>42369SWEDEN</v>
          </cell>
          <cell r="D255" t="str">
            <v>SEK</v>
          </cell>
          <cell r="E255">
            <v>3.6829027147684803</v>
          </cell>
          <cell r="F255">
            <v>1.0780859</v>
          </cell>
          <cell r="G255" t="str">
            <v>SWEDEN</v>
          </cell>
          <cell r="H255">
            <v>5</v>
          </cell>
        </row>
        <row r="256">
          <cell r="B256" t="str">
            <v>42369SGD</v>
          </cell>
          <cell r="C256" t="str">
            <v>42369SINGAPORE</v>
          </cell>
          <cell r="D256" t="str">
            <v>SGD</v>
          </cell>
          <cell r="E256">
            <v>3.7507255815726817</v>
          </cell>
          <cell r="F256">
            <v>0.63493144999999995</v>
          </cell>
          <cell r="G256" t="str">
            <v>SINGAPORE</v>
          </cell>
          <cell r="H256">
            <v>5</v>
          </cell>
        </row>
        <row r="257">
          <cell r="B257" t="str">
            <v>42369TZS</v>
          </cell>
          <cell r="C257" t="str">
            <v>42369TANZANIA, UNITED REPUBLIC OF</v>
          </cell>
          <cell r="D257" t="str">
            <v>TZS</v>
          </cell>
          <cell r="E257">
            <v>7.5904147285000203</v>
          </cell>
          <cell r="F257">
            <v>5.8819999999999997</v>
          </cell>
          <cell r="G257" t="str">
            <v>TANZANIA, UNITED REPUBLIC OF</v>
          </cell>
          <cell r="H257">
            <v>5</v>
          </cell>
        </row>
        <row r="258">
          <cell r="B258" t="str">
            <v>42369THB</v>
          </cell>
          <cell r="C258" t="str">
            <v>42369THAILAND</v>
          </cell>
          <cell r="D258" t="str">
            <v>THB</v>
          </cell>
          <cell r="E258">
            <v>3.6830237157572867</v>
          </cell>
          <cell r="F258">
            <v>1.3861779999999999</v>
          </cell>
          <cell r="G258" t="str">
            <v>THAILAND</v>
          </cell>
          <cell r="H258">
            <v>6.0677018658153949</v>
          </cell>
        </row>
        <row r="259">
          <cell r="B259" t="str">
            <v>42369TRY</v>
          </cell>
          <cell r="C259" t="str">
            <v>42369TURKEY</v>
          </cell>
          <cell r="D259" t="str">
            <v>TRY</v>
          </cell>
          <cell r="E259">
            <v>9.0323375381532269</v>
          </cell>
          <cell r="F259">
            <v>7.7802277000000002</v>
          </cell>
          <cell r="G259" t="str">
            <v>TURKEY</v>
          </cell>
          <cell r="H259">
            <v>5</v>
          </cell>
        </row>
        <row r="260">
          <cell r="B260" t="str">
            <v>42369TWD</v>
          </cell>
          <cell r="C260" t="str">
            <v>42369TAIWAN</v>
          </cell>
          <cell r="D260" t="str">
            <v>TWD</v>
          </cell>
          <cell r="E260">
            <v>3.3478746216391944</v>
          </cell>
          <cell r="F260">
            <v>1.1391777999999999</v>
          </cell>
          <cell r="G260" t="str">
            <v>TAIWAN</v>
          </cell>
          <cell r="H260">
            <v>5</v>
          </cell>
        </row>
        <row r="261">
          <cell r="B261" t="str">
            <v>42369UAH</v>
          </cell>
          <cell r="C261" t="str">
            <v>42369UKRAINE</v>
          </cell>
          <cell r="D261" t="str">
            <v>UAH</v>
          </cell>
          <cell r="E261">
            <v>18.394039059892677</v>
          </cell>
          <cell r="F261">
            <v>18.435347</v>
          </cell>
          <cell r="G261" t="str">
            <v>UKRAINE</v>
          </cell>
          <cell r="H261">
            <v>5</v>
          </cell>
        </row>
        <row r="262">
          <cell r="B262" t="str">
            <v>42369USD</v>
          </cell>
          <cell r="C262" t="str">
            <v>42369UNITED STATES</v>
          </cell>
          <cell r="D262" t="str">
            <v>USD</v>
          </cell>
          <cell r="E262">
            <v>3.7543520469065319</v>
          </cell>
          <cell r="F262">
            <v>1.7006258999999999</v>
          </cell>
          <cell r="G262" t="str">
            <v>UNITED STATES</v>
          </cell>
          <cell r="H262">
            <v>5</v>
          </cell>
        </row>
        <row r="263">
          <cell r="B263" t="str">
            <v>42369VND</v>
          </cell>
          <cell r="C263" t="str">
            <v>42369VIET NAM</v>
          </cell>
          <cell r="D263" t="str">
            <v>VND</v>
          </cell>
          <cell r="E263">
            <v>5.7766957234542762</v>
          </cell>
          <cell r="F263">
            <v>3.4</v>
          </cell>
          <cell r="G263" t="str">
            <v>VIET NAM</v>
          </cell>
          <cell r="H263">
            <v>5</v>
          </cell>
        </row>
        <row r="264">
          <cell r="B264" t="str">
            <v>42369ZAR</v>
          </cell>
          <cell r="C264" t="str">
            <v>42369SOUTH AFRICA</v>
          </cell>
          <cell r="D264" t="str">
            <v>ZAR</v>
          </cell>
          <cell r="E264">
            <v>7.7159820380363211</v>
          </cell>
          <cell r="F264">
            <v>5.7731479999999999</v>
          </cell>
          <cell r="G264" t="str">
            <v>SOUTH AFRICA</v>
          </cell>
          <cell r="H264">
            <v>5</v>
          </cell>
        </row>
        <row r="265">
          <cell r="B265" t="str">
            <v>42369EUR1</v>
          </cell>
          <cell r="C265" t="str">
            <v>42369BELGIUM</v>
          </cell>
          <cell r="D265" t="str">
            <v>EUR1</v>
          </cell>
          <cell r="E265">
            <v>3.3352315657809752</v>
          </cell>
          <cell r="G265" t="str">
            <v>BELGIUM</v>
          </cell>
          <cell r="H265">
            <v>5</v>
          </cell>
        </row>
        <row r="266">
          <cell r="B266" t="str">
            <v>42369EUR2</v>
          </cell>
          <cell r="C266" t="str">
            <v>42369CYPRUS</v>
          </cell>
          <cell r="D266" t="str">
            <v>EUR2</v>
          </cell>
          <cell r="E266">
            <v>3.3352315657809752</v>
          </cell>
          <cell r="G266" t="str">
            <v>CYPRUS</v>
          </cell>
          <cell r="H266">
            <v>5</v>
          </cell>
        </row>
        <row r="267">
          <cell r="B267" t="str">
            <v>42369EUR3</v>
          </cell>
          <cell r="C267" t="str">
            <v>42369ESTONIA</v>
          </cell>
          <cell r="D267" t="str">
            <v>EUR3</v>
          </cell>
          <cell r="E267">
            <v>3.3352315657809752</v>
          </cell>
          <cell r="G267" t="str">
            <v>ESTONIA</v>
          </cell>
          <cell r="H267">
            <v>5</v>
          </cell>
        </row>
        <row r="268">
          <cell r="B268" t="str">
            <v>42369EUR4</v>
          </cell>
          <cell r="C268" t="str">
            <v>42369FINLAND</v>
          </cell>
          <cell r="D268" t="str">
            <v>EUR4</v>
          </cell>
          <cell r="E268">
            <v>3.3352315657809752</v>
          </cell>
          <cell r="G268" t="str">
            <v>FINLAND</v>
          </cell>
          <cell r="H268">
            <v>5</v>
          </cell>
        </row>
        <row r="269">
          <cell r="B269" t="str">
            <v>42369EUR5</v>
          </cell>
          <cell r="C269" t="str">
            <v>42369FRANCE</v>
          </cell>
          <cell r="D269" t="str">
            <v>EUR5</v>
          </cell>
          <cell r="E269">
            <v>3.3352315657809752</v>
          </cell>
          <cell r="G269" t="str">
            <v>FRANCE</v>
          </cell>
          <cell r="H269">
            <v>5</v>
          </cell>
        </row>
        <row r="270">
          <cell r="B270" t="str">
            <v>42369EUR6</v>
          </cell>
          <cell r="C270" t="str">
            <v>42369GERMANY</v>
          </cell>
          <cell r="D270" t="str">
            <v>EUR6</v>
          </cell>
          <cell r="E270">
            <v>3.3352315657809752</v>
          </cell>
          <cell r="G270" t="str">
            <v>GERMANY</v>
          </cell>
          <cell r="H270">
            <v>5.1604940996504878</v>
          </cell>
        </row>
        <row r="271">
          <cell r="B271" t="str">
            <v>42369EUR7</v>
          </cell>
          <cell r="C271" t="str">
            <v>42369GREECE</v>
          </cell>
          <cell r="D271" t="str">
            <v>EUR7</v>
          </cell>
          <cell r="E271">
            <v>3.3352315657809752</v>
          </cell>
          <cell r="G271" t="str">
            <v>GREECE</v>
          </cell>
          <cell r="H271">
            <v>10</v>
          </cell>
        </row>
        <row r="272">
          <cell r="B272" t="str">
            <v>42369EUR8</v>
          </cell>
          <cell r="C272" t="str">
            <v>42369IRELAND</v>
          </cell>
          <cell r="D272" t="str">
            <v>EUR8</v>
          </cell>
          <cell r="E272">
            <v>3.3352315657809752</v>
          </cell>
          <cell r="G272" t="str">
            <v>IRELAND</v>
          </cell>
          <cell r="H272">
            <v>5</v>
          </cell>
        </row>
        <row r="273">
          <cell r="B273" t="str">
            <v>42369EUR9</v>
          </cell>
          <cell r="C273" t="str">
            <v>42369ITALY</v>
          </cell>
          <cell r="D273" t="str">
            <v>EUR9</v>
          </cell>
          <cell r="E273">
            <v>3.3352315657809752</v>
          </cell>
          <cell r="G273" t="str">
            <v>ITALY</v>
          </cell>
          <cell r="H273">
            <v>5</v>
          </cell>
        </row>
        <row r="274">
          <cell r="B274" t="str">
            <v>42369EUR10</v>
          </cell>
          <cell r="C274" t="str">
            <v>42369LATVIA</v>
          </cell>
          <cell r="D274" t="str">
            <v>EUR10</v>
          </cell>
          <cell r="E274">
            <v>3.3352315657809752</v>
          </cell>
          <cell r="G274" t="str">
            <v>LATVIA</v>
          </cell>
          <cell r="H274">
            <v>5</v>
          </cell>
        </row>
        <row r="275">
          <cell r="B275" t="str">
            <v>42369EUR11</v>
          </cell>
          <cell r="C275" t="str">
            <v>42369LUXEMBOURG</v>
          </cell>
          <cell r="D275" t="str">
            <v>EUR11</v>
          </cell>
          <cell r="E275">
            <v>3.3352315657809752</v>
          </cell>
          <cell r="G275" t="str">
            <v>LUXEMBOURG</v>
          </cell>
          <cell r="H275">
            <v>5</v>
          </cell>
        </row>
        <row r="276">
          <cell r="B276" t="str">
            <v>42369EUR12</v>
          </cell>
          <cell r="C276" t="str">
            <v>42369MALTA</v>
          </cell>
          <cell r="D276" t="str">
            <v>EUR12</v>
          </cell>
          <cell r="E276">
            <v>3.3352315657809752</v>
          </cell>
          <cell r="G276" t="str">
            <v>MALTA</v>
          </cell>
          <cell r="H276">
            <v>5</v>
          </cell>
        </row>
        <row r="277">
          <cell r="B277" t="str">
            <v>42369EUR13</v>
          </cell>
          <cell r="C277" t="str">
            <v>42369MONTENEGRO</v>
          </cell>
          <cell r="D277" t="str">
            <v>EUR13</v>
          </cell>
          <cell r="E277">
            <v>3.3352315657809752</v>
          </cell>
          <cell r="G277" t="str">
            <v>MONTENEGRO</v>
          </cell>
          <cell r="H277">
            <v>5</v>
          </cell>
        </row>
        <row r="278">
          <cell r="B278" t="str">
            <v>42369EUR14</v>
          </cell>
          <cell r="C278" t="str">
            <v>42369NETHERLANDS</v>
          </cell>
          <cell r="D278" t="str">
            <v>EUR14</v>
          </cell>
          <cell r="E278">
            <v>3.3352315657809752</v>
          </cell>
          <cell r="G278" t="str">
            <v>NETHERLANDS</v>
          </cell>
          <cell r="H278">
            <v>5</v>
          </cell>
        </row>
        <row r="279">
          <cell r="B279" t="str">
            <v>42369EUR15</v>
          </cell>
          <cell r="C279" t="str">
            <v>42369PORTUGAL</v>
          </cell>
          <cell r="D279" t="str">
            <v>EUR15</v>
          </cell>
          <cell r="E279">
            <v>3.3352315657809752</v>
          </cell>
          <cell r="G279" t="str">
            <v>PORTUGAL</v>
          </cell>
          <cell r="H279">
            <v>5</v>
          </cell>
        </row>
        <row r="280">
          <cell r="B280" t="str">
            <v>42369EUR16</v>
          </cell>
          <cell r="C280" t="str">
            <v>42369SLOVAKIA</v>
          </cell>
          <cell r="D280" t="str">
            <v>EUR16</v>
          </cell>
          <cell r="E280">
            <v>3.3352315657809752</v>
          </cell>
          <cell r="G280" t="str">
            <v>SLOVAKIA</v>
          </cell>
          <cell r="H280">
            <v>5</v>
          </cell>
        </row>
        <row r="281">
          <cell r="B281" t="str">
            <v>42369EUR17</v>
          </cell>
          <cell r="C281" t="str">
            <v>42369SLOVENIA</v>
          </cell>
          <cell r="D281" t="str">
            <v>EUR17</v>
          </cell>
          <cell r="E281">
            <v>3.3352315657809752</v>
          </cell>
          <cell r="G281" t="str">
            <v>SLOVENIA</v>
          </cell>
          <cell r="H281">
            <v>5</v>
          </cell>
        </row>
        <row r="282">
          <cell r="B282" t="str">
            <v>42369EUR18</v>
          </cell>
          <cell r="C282" t="str">
            <v>42369SPAIN</v>
          </cell>
          <cell r="D282" t="str">
            <v>EUR18</v>
          </cell>
          <cell r="E282">
            <v>3.3352315657809752</v>
          </cell>
          <cell r="G282" t="str">
            <v>SPAIN</v>
          </cell>
          <cell r="H282">
            <v>5</v>
          </cell>
        </row>
        <row r="283">
          <cell r="B283" t="str">
            <v>42369Eastern European Institutions</v>
          </cell>
          <cell r="C283" t="str">
            <v>42369Eastern European Institutions</v>
          </cell>
          <cell r="D283" t="str">
            <v>Eastern European Institutions</v>
          </cell>
          <cell r="E283">
            <v>2.25</v>
          </cell>
          <cell r="G283" t="str">
            <v>Eastern European Institutions</v>
          </cell>
          <cell r="H283">
            <v>5</v>
          </cell>
        </row>
        <row r="284">
          <cell r="B284" t="str">
            <v>42400AED</v>
          </cell>
          <cell r="C284" t="str">
            <v>42400U. A. E.</v>
          </cell>
          <cell r="D284" t="str">
            <v>AED</v>
          </cell>
          <cell r="E284">
            <v>5.299649493533968</v>
          </cell>
          <cell r="F284">
            <v>1.7006258999999999</v>
          </cell>
          <cell r="G284" t="str">
            <v>U. A. E.</v>
          </cell>
          <cell r="H284">
            <v>6</v>
          </cell>
        </row>
        <row r="285">
          <cell r="B285" t="str">
            <v>42400ARS</v>
          </cell>
          <cell r="C285" t="str">
            <v>42400ARGENTINA</v>
          </cell>
          <cell r="D285" t="str">
            <v>ARS</v>
          </cell>
          <cell r="E285">
            <v>25.118245172144984</v>
          </cell>
          <cell r="F285">
            <v>31.788546</v>
          </cell>
          <cell r="G285" t="str">
            <v>ARGENTINA</v>
          </cell>
          <cell r="H285">
            <v>5</v>
          </cell>
        </row>
        <row r="286">
          <cell r="B286" t="str">
            <v>42400AUD</v>
          </cell>
          <cell r="C286" t="str">
            <v>42400AUSTRALIA</v>
          </cell>
          <cell r="D286" t="str">
            <v>AUD</v>
          </cell>
          <cell r="E286">
            <v>4.611220469902281</v>
          </cell>
          <cell r="F286">
            <v>2.4104804999999998</v>
          </cell>
          <cell r="G286" t="str">
            <v>AUSTRALIA</v>
          </cell>
          <cell r="H286">
            <v>4.6374300560304293</v>
          </cell>
        </row>
        <row r="287">
          <cell r="B287" t="str">
            <v>42400BDT</v>
          </cell>
          <cell r="C287" t="str">
            <v>42400BANGLADESH</v>
          </cell>
          <cell r="D287" t="str">
            <v>BDT</v>
          </cell>
          <cell r="E287">
            <v>8.8206939891289515</v>
          </cell>
          <cell r="F287">
            <v>6.3</v>
          </cell>
          <cell r="G287" t="str">
            <v>BANGLADESH</v>
          </cell>
          <cell r="H287">
            <v>5</v>
          </cell>
        </row>
        <row r="288">
          <cell r="B288" t="str">
            <v>42400BRL</v>
          </cell>
          <cell r="C288" t="str">
            <v>42400BRAZIL</v>
          </cell>
          <cell r="D288" t="str">
            <v>BRL</v>
          </cell>
          <cell r="E288">
            <v>8.2780214549920608</v>
          </cell>
          <cell r="F288">
            <v>6.6228309999999997</v>
          </cell>
          <cell r="G288" t="str">
            <v>BRAZIL</v>
          </cell>
          <cell r="H288">
            <v>7</v>
          </cell>
        </row>
        <row r="289">
          <cell r="B289" t="str">
            <v>42400BWP</v>
          </cell>
          <cell r="C289" t="str">
            <v>42400BOTSWANA</v>
          </cell>
          <cell r="D289" t="str">
            <v>BWP</v>
          </cell>
          <cell r="E289">
            <v>6.5670893390217957</v>
          </cell>
          <cell r="F289">
            <v>4.3550000000000004</v>
          </cell>
          <cell r="G289" t="str">
            <v>BOTSWANA</v>
          </cell>
          <cell r="H289">
            <v>5</v>
          </cell>
        </row>
        <row r="290">
          <cell r="B290" t="str">
            <v>42400CAD</v>
          </cell>
          <cell r="C290" t="str">
            <v>42400CANADA</v>
          </cell>
          <cell r="D290" t="str">
            <v>CAD</v>
          </cell>
          <cell r="E290">
            <v>4.0912501559647687</v>
          </cell>
          <cell r="F290">
            <v>1.9147896</v>
          </cell>
          <cell r="G290" t="str">
            <v>CANADA</v>
          </cell>
          <cell r="H290">
            <v>5</v>
          </cell>
        </row>
        <row r="291">
          <cell r="B291" t="str">
            <v>42400CHF</v>
          </cell>
          <cell r="C291" t="str">
            <v>42400SWITZERLAND</v>
          </cell>
          <cell r="D291" t="str">
            <v>CHF</v>
          </cell>
          <cell r="E291">
            <v>2.4217635718133215</v>
          </cell>
          <cell r="F291">
            <v>-0.29668644</v>
          </cell>
          <cell r="G291" t="str">
            <v>SWITZERLAND</v>
          </cell>
          <cell r="H291">
            <v>4</v>
          </cell>
        </row>
        <row r="292">
          <cell r="B292" t="str">
            <v>42400CLP</v>
          </cell>
          <cell r="C292" t="str">
            <v>42400CHILE</v>
          </cell>
          <cell r="D292" t="str">
            <v>CLP</v>
          </cell>
          <cell r="E292">
            <v>5.6565771708428505</v>
          </cell>
          <cell r="F292">
            <v>3.4220571999999998</v>
          </cell>
          <cell r="G292" t="str">
            <v>CHILE</v>
          </cell>
          <cell r="H292">
            <v>5</v>
          </cell>
        </row>
        <row r="293">
          <cell r="B293" t="str">
            <v>42400CNY</v>
          </cell>
          <cell r="C293" t="str">
            <v>42400CHINA</v>
          </cell>
          <cell r="D293" t="str">
            <v>CNY</v>
          </cell>
          <cell r="E293">
            <v>4.4486505259327105</v>
          </cell>
          <cell r="F293">
            <v>1.7006528000000001</v>
          </cell>
          <cell r="G293" t="str">
            <v>CHINA</v>
          </cell>
          <cell r="H293">
            <v>5</v>
          </cell>
        </row>
        <row r="294">
          <cell r="B294" t="str">
            <v>42400COP</v>
          </cell>
          <cell r="C294" t="str">
            <v>42400COLOMBIA</v>
          </cell>
          <cell r="D294" t="str">
            <v>COP</v>
          </cell>
          <cell r="E294">
            <v>5.6625849671774899</v>
          </cell>
          <cell r="F294">
            <v>4.0797280000000002</v>
          </cell>
          <cell r="G294" t="str">
            <v>COLOMBIA</v>
          </cell>
          <cell r="H294">
            <v>6</v>
          </cell>
        </row>
        <row r="295">
          <cell r="B295" t="str">
            <v>42400CZK</v>
          </cell>
          <cell r="C295" t="str">
            <v>42400CZECH REPUBLIC</v>
          </cell>
          <cell r="D295" t="str">
            <v>CZK</v>
          </cell>
          <cell r="E295">
            <v>3.817219939843234</v>
          </cell>
          <cell r="F295">
            <v>1.3469622999999999</v>
          </cell>
          <cell r="G295" t="str">
            <v>CZECH REPUBLIC</v>
          </cell>
          <cell r="H295">
            <v>5</v>
          </cell>
        </row>
        <row r="296">
          <cell r="B296" t="str">
            <v>42400DKK</v>
          </cell>
          <cell r="C296" t="str">
            <v>42400DENMARK</v>
          </cell>
          <cell r="D296" t="str">
            <v>DKK</v>
          </cell>
          <cell r="E296">
            <v>3.9083065897722626</v>
          </cell>
          <cell r="F296">
            <v>1.4369757999999999</v>
          </cell>
          <cell r="G296" t="str">
            <v>DENMARK</v>
          </cell>
          <cell r="H296">
            <v>4</v>
          </cell>
        </row>
        <row r="297">
          <cell r="B297" t="str">
            <v>42400EGP</v>
          </cell>
          <cell r="C297" t="str">
            <v>42400EGYPT</v>
          </cell>
          <cell r="D297" t="str">
            <v>EGP</v>
          </cell>
          <cell r="E297">
            <v>11.585875407778161</v>
          </cell>
          <cell r="F297">
            <v>9.6390419999999999</v>
          </cell>
          <cell r="G297" t="str">
            <v>EGYPT</v>
          </cell>
          <cell r="H297">
            <v>6</v>
          </cell>
        </row>
        <row r="298">
          <cell r="B298" t="str">
            <v>42400EUR</v>
          </cell>
          <cell r="C298" t="str">
            <v>42400AUSTRIA</v>
          </cell>
          <cell r="D298" t="str">
            <v>EUR</v>
          </cell>
          <cell r="E298">
            <v>3.3352315657809752</v>
          </cell>
          <cell r="F298">
            <v>1.0399</v>
          </cell>
          <cell r="G298" t="str">
            <v>AUSTRIA</v>
          </cell>
          <cell r="H298">
            <v>4</v>
          </cell>
        </row>
        <row r="299">
          <cell r="B299" t="str">
            <v>42400GBP</v>
          </cell>
          <cell r="C299" t="str">
            <v>42400UNITED KINGDOM</v>
          </cell>
          <cell r="D299" t="str">
            <v>GBP</v>
          </cell>
          <cell r="E299">
            <v>3.7602072721388859</v>
          </cell>
          <cell r="F299">
            <v>1.1386039999999999</v>
          </cell>
          <cell r="G299" t="str">
            <v>UNITED KINGDOM</v>
          </cell>
          <cell r="H299">
            <v>4</v>
          </cell>
        </row>
        <row r="300">
          <cell r="B300" t="str">
            <v>42400HKD</v>
          </cell>
          <cell r="C300" t="str">
            <v>42400HONG KONG</v>
          </cell>
          <cell r="D300" t="str">
            <v>HKD</v>
          </cell>
          <cell r="E300">
            <v>5.3698565407867473</v>
          </cell>
          <cell r="F300">
            <v>1.7006258999999999</v>
          </cell>
          <cell r="G300" t="str">
            <v>HONG KONG</v>
          </cell>
          <cell r="H300">
            <v>3.5787939851459631</v>
          </cell>
        </row>
        <row r="301">
          <cell r="B301" t="str">
            <v>42400HUF</v>
          </cell>
          <cell r="C301" t="str">
            <v>42400HUNGARY</v>
          </cell>
          <cell r="D301" t="str">
            <v>HUF</v>
          </cell>
          <cell r="E301">
            <v>4.550240991131286</v>
          </cell>
          <cell r="F301">
            <v>1.9026227</v>
          </cell>
          <cell r="G301" t="str">
            <v>HUNGARY</v>
          </cell>
          <cell r="H301">
            <v>5</v>
          </cell>
        </row>
        <row r="302">
          <cell r="B302" t="str">
            <v>42400IDR</v>
          </cell>
          <cell r="C302" t="str">
            <v>42400INDONESIA</v>
          </cell>
          <cell r="D302" t="str">
            <v>IDR</v>
          </cell>
          <cell r="E302">
            <v>7.3853914869320505</v>
          </cell>
          <cell r="F302">
            <v>4.8624124999999996</v>
          </cell>
          <cell r="G302" t="str">
            <v>INDONESIA</v>
          </cell>
          <cell r="H302">
            <v>5</v>
          </cell>
        </row>
        <row r="303">
          <cell r="B303" t="str">
            <v>42400ILS</v>
          </cell>
          <cell r="C303" t="str">
            <v>42400ISRAEL</v>
          </cell>
          <cell r="D303" t="str">
            <v>ILS</v>
          </cell>
          <cell r="E303">
            <v>3.8364586503774758</v>
          </cell>
          <cell r="F303">
            <v>0.84370445999999999</v>
          </cell>
          <cell r="G303" t="str">
            <v>ISRAEL</v>
          </cell>
          <cell r="H303">
            <v>5</v>
          </cell>
        </row>
        <row r="304">
          <cell r="B304" t="str">
            <v>42400INR</v>
          </cell>
          <cell r="C304" t="str">
            <v>42400INDIA</v>
          </cell>
          <cell r="D304" t="str">
            <v>INR</v>
          </cell>
          <cell r="E304">
            <v>7.5053317444017811</v>
          </cell>
          <cell r="F304">
            <v>5.2725334000000004</v>
          </cell>
          <cell r="G304" t="str">
            <v>INDIA</v>
          </cell>
          <cell r="H304">
            <v>5</v>
          </cell>
        </row>
        <row r="305">
          <cell r="B305" t="str">
            <v>42400IQD</v>
          </cell>
          <cell r="C305" t="str">
            <v>42400IRAQ</v>
          </cell>
          <cell r="D305" t="str">
            <v>IQD</v>
          </cell>
          <cell r="E305">
            <v>5.0242122627077093</v>
          </cell>
          <cell r="F305">
            <v>3</v>
          </cell>
          <cell r="G305" t="str">
            <v>IRAQ</v>
          </cell>
          <cell r="H305">
            <v>6</v>
          </cell>
        </row>
        <row r="306">
          <cell r="B306" t="str">
            <v>42400JPY</v>
          </cell>
          <cell r="C306" t="str">
            <v>42400JAPAN</v>
          </cell>
          <cell r="D306" t="str">
            <v>JPY</v>
          </cell>
          <cell r="E306">
            <v>3.2542629597647235</v>
          </cell>
          <cell r="F306">
            <v>0.72125110000000003</v>
          </cell>
          <cell r="G306" t="str">
            <v>JAPAN</v>
          </cell>
          <cell r="H306">
            <v>5</v>
          </cell>
        </row>
        <row r="307">
          <cell r="B307" t="str">
            <v>42400KES</v>
          </cell>
          <cell r="C307" t="str">
            <v>42400KENYA</v>
          </cell>
          <cell r="D307" t="str">
            <v>KES</v>
          </cell>
          <cell r="E307">
            <v>7.7105698935640046</v>
          </cell>
          <cell r="F307">
            <v>6.5</v>
          </cell>
          <cell r="G307" t="str">
            <v>KENYA</v>
          </cell>
          <cell r="H307">
            <v>5</v>
          </cell>
        </row>
        <row r="308">
          <cell r="B308" t="str">
            <v>42400KHR</v>
          </cell>
          <cell r="C308" t="str">
            <v>42400CAMBODIA</v>
          </cell>
          <cell r="D308" t="str">
            <v>KHR</v>
          </cell>
          <cell r="E308">
            <v>4.5975692462509024</v>
          </cell>
          <cell r="G308" t="str">
            <v>CAMBODIA</v>
          </cell>
          <cell r="H308">
            <v>5</v>
          </cell>
        </row>
        <row r="309">
          <cell r="B309" t="str">
            <v>42400KRW</v>
          </cell>
          <cell r="C309" t="str">
            <v>42400KOREA SOUTH(REPUBLIC OF KOREA)</v>
          </cell>
          <cell r="D309" t="str">
            <v>KRW</v>
          </cell>
          <cell r="E309">
            <v>4.5454409262545772</v>
          </cell>
          <cell r="F309">
            <v>1.4778936</v>
          </cell>
          <cell r="G309" t="str">
            <v>KOREA SOUTH(REPUBLIC OF KOREA)</v>
          </cell>
          <cell r="H309">
            <v>5</v>
          </cell>
        </row>
        <row r="310">
          <cell r="B310" t="str">
            <v>42400KWD</v>
          </cell>
          <cell r="C310" t="str">
            <v>42400KUWAIT</v>
          </cell>
          <cell r="D310" t="str">
            <v>KWD</v>
          </cell>
          <cell r="E310">
            <v>5.669953575332535</v>
          </cell>
          <cell r="F310">
            <v>3.5</v>
          </cell>
          <cell r="G310" t="str">
            <v>KUWAIT</v>
          </cell>
          <cell r="H310">
            <v>6</v>
          </cell>
        </row>
        <row r="311">
          <cell r="B311" t="str">
            <v>42400LKR</v>
          </cell>
          <cell r="C311" t="str">
            <v>42400SRI LANKA</v>
          </cell>
          <cell r="D311" t="str">
            <v>LKR</v>
          </cell>
          <cell r="E311">
            <v>6.1325860123118838</v>
          </cell>
          <cell r="F311">
            <v>3.9</v>
          </cell>
          <cell r="G311" t="str">
            <v>SRI LANKA</v>
          </cell>
          <cell r="H311">
            <v>5</v>
          </cell>
        </row>
        <row r="312">
          <cell r="B312" t="str">
            <v>42400KZT</v>
          </cell>
          <cell r="C312" t="str">
            <v>42400KAZAKHSTAN</v>
          </cell>
          <cell r="D312" t="str">
            <v>KZT</v>
          </cell>
          <cell r="E312">
            <v>9.3990001723787842</v>
          </cell>
          <cell r="F312">
            <v>8.57</v>
          </cell>
          <cell r="G312" t="str">
            <v>KAZAKHSTAN</v>
          </cell>
          <cell r="H312">
            <v>5</v>
          </cell>
        </row>
        <row r="313">
          <cell r="B313" t="str">
            <v>42400MAD</v>
          </cell>
          <cell r="C313" t="str">
            <v>42400MOROCCO</v>
          </cell>
          <cell r="D313" t="str">
            <v>MAD</v>
          </cell>
          <cell r="E313">
            <v>4.1498033428810901</v>
          </cell>
          <cell r="F313">
            <v>1.5</v>
          </cell>
          <cell r="G313" t="str">
            <v>MOROCCO</v>
          </cell>
          <cell r="H313">
            <v>5</v>
          </cell>
        </row>
        <row r="314">
          <cell r="B314" t="str">
            <v>42400MXN</v>
          </cell>
          <cell r="C314" t="str">
            <v>42400MEXICO</v>
          </cell>
          <cell r="D314" t="str">
            <v>MXN</v>
          </cell>
          <cell r="E314">
            <v>5.2083704891747997</v>
          </cell>
          <cell r="F314">
            <v>3.3264358000000001</v>
          </cell>
          <cell r="G314" t="str">
            <v>MEXICO</v>
          </cell>
          <cell r="H314">
            <v>6</v>
          </cell>
        </row>
        <row r="315">
          <cell r="B315" t="str">
            <v>42400MYR</v>
          </cell>
          <cell r="C315" t="str">
            <v>42400MALAYSIA</v>
          </cell>
          <cell r="D315" t="str">
            <v>MYR</v>
          </cell>
          <cell r="E315">
            <v>5.289038357842605</v>
          </cell>
          <cell r="F315">
            <v>3.0220107999999999</v>
          </cell>
          <cell r="G315" t="str">
            <v>MALAYSIA</v>
          </cell>
          <cell r="H315">
            <v>5</v>
          </cell>
        </row>
        <row r="316">
          <cell r="B316" t="str">
            <v>42400NGN</v>
          </cell>
          <cell r="C316" t="str">
            <v>42400NIGERIA</v>
          </cell>
          <cell r="D316" t="str">
            <v>NGN</v>
          </cell>
          <cell r="E316">
            <v>10.77140503526706</v>
          </cell>
          <cell r="F316">
            <v>9.9646080000000001</v>
          </cell>
          <cell r="G316" t="str">
            <v>NIGERIA</v>
          </cell>
          <cell r="H316">
            <v>7</v>
          </cell>
        </row>
        <row r="317">
          <cell r="B317" t="str">
            <v>42400NOK</v>
          </cell>
          <cell r="C317" t="str">
            <v>42400NORWAY</v>
          </cell>
          <cell r="D317" t="str">
            <v>NOK</v>
          </cell>
          <cell r="E317">
            <v>4.5999267458624518</v>
          </cell>
          <cell r="F317">
            <v>2.4895193999999998</v>
          </cell>
          <cell r="G317" t="str">
            <v>NORWAY</v>
          </cell>
          <cell r="H317">
            <v>4</v>
          </cell>
        </row>
        <row r="318">
          <cell r="B318" t="str">
            <v>42400NZD</v>
          </cell>
          <cell r="C318" t="str">
            <v>42400NEW ZEALAND</v>
          </cell>
          <cell r="D318" t="str">
            <v>NZD</v>
          </cell>
          <cell r="E318">
            <v>3.7956002733151841</v>
          </cell>
          <cell r="F318">
            <v>1.6704615</v>
          </cell>
          <cell r="G318" t="str">
            <v>NEW ZEALAND</v>
          </cell>
          <cell r="H318">
            <v>5.4530502526175262</v>
          </cell>
        </row>
        <row r="319">
          <cell r="B319" t="str">
            <v>42400OMR</v>
          </cell>
          <cell r="C319" t="str">
            <v>42400OMAN</v>
          </cell>
          <cell r="D319" t="str">
            <v>OMR</v>
          </cell>
          <cell r="E319">
            <v>4.4482255110273519</v>
          </cell>
          <cell r="F319">
            <v>1.7006258999999999</v>
          </cell>
          <cell r="G319" t="str">
            <v>OMAN</v>
          </cell>
          <cell r="H319">
            <v>6</v>
          </cell>
        </row>
        <row r="320">
          <cell r="B320" t="str">
            <v>42400PEN</v>
          </cell>
          <cell r="C320" t="str">
            <v>42400PERU</v>
          </cell>
          <cell r="D320" t="str">
            <v>PEN</v>
          </cell>
          <cell r="E320">
            <v>4.6692131877545764</v>
          </cell>
          <cell r="F320">
            <v>3.2459986000000001</v>
          </cell>
          <cell r="G320" t="str">
            <v>PERU</v>
          </cell>
          <cell r="H320">
            <v>5</v>
          </cell>
        </row>
        <row r="321">
          <cell r="B321" t="str">
            <v>42400PHP</v>
          </cell>
          <cell r="C321" t="str">
            <v>42400PHILIPPINES</v>
          </cell>
          <cell r="D321" t="str">
            <v>PHP</v>
          </cell>
          <cell r="E321">
            <v>5.3904633216530087</v>
          </cell>
          <cell r="F321">
            <v>2.4938380000000002</v>
          </cell>
          <cell r="G321" t="str">
            <v>PHILIPPINES</v>
          </cell>
          <cell r="H321">
            <v>5</v>
          </cell>
        </row>
        <row r="322">
          <cell r="B322" t="str">
            <v>42400PKR</v>
          </cell>
          <cell r="C322" t="str">
            <v>42400PAKISTAN</v>
          </cell>
          <cell r="D322" t="str">
            <v>PKR</v>
          </cell>
          <cell r="E322">
            <v>7.1962804265149263</v>
          </cell>
          <cell r="F322">
            <v>5.2</v>
          </cell>
          <cell r="G322" t="str">
            <v>PAKISTAN</v>
          </cell>
          <cell r="H322">
            <v>5</v>
          </cell>
        </row>
        <row r="323">
          <cell r="B323" t="str">
            <v>42400PLN</v>
          </cell>
          <cell r="C323" t="str">
            <v>42400POLAND</v>
          </cell>
          <cell r="D323" t="str">
            <v>PLN</v>
          </cell>
          <cell r="E323">
            <v>3.6358132610942375</v>
          </cell>
          <cell r="F323">
            <v>1.1570753</v>
          </cell>
          <cell r="G323" t="str">
            <v>POLAND</v>
          </cell>
          <cell r="H323">
            <v>5</v>
          </cell>
        </row>
        <row r="324">
          <cell r="B324" t="str">
            <v>42400QAR</v>
          </cell>
          <cell r="C324" t="str">
            <v>42400QATAR</v>
          </cell>
          <cell r="D324" t="str">
            <v>QAR</v>
          </cell>
          <cell r="E324">
            <v>4.6723623927241977</v>
          </cell>
          <cell r="F324">
            <v>1.7006258999999999</v>
          </cell>
          <cell r="G324" t="str">
            <v>QATAR</v>
          </cell>
          <cell r="H324">
            <v>6</v>
          </cell>
        </row>
        <row r="325">
          <cell r="B325" t="str">
            <v>42400RON</v>
          </cell>
          <cell r="C325" t="str">
            <v>42400ROMANIA</v>
          </cell>
          <cell r="D325" t="str">
            <v>RON</v>
          </cell>
          <cell r="E325">
            <v>3.6204488094398837</v>
          </cell>
          <cell r="F325">
            <v>-0.18888994000000001</v>
          </cell>
          <cell r="G325" t="str">
            <v>ROMANIA</v>
          </cell>
          <cell r="H325">
            <v>5</v>
          </cell>
        </row>
        <row r="326">
          <cell r="B326" t="str">
            <v>42400RUB</v>
          </cell>
          <cell r="C326" t="str">
            <v>42400RUSSIAN FEDERATION</v>
          </cell>
          <cell r="D326" t="str">
            <v>RUB</v>
          </cell>
          <cell r="E326">
            <v>10.306426910337745</v>
          </cell>
          <cell r="F326">
            <v>7.2920011999999996</v>
          </cell>
          <cell r="G326" t="str">
            <v>RUSSIAN FEDERATION</v>
          </cell>
          <cell r="H326">
            <v>6</v>
          </cell>
        </row>
        <row r="327">
          <cell r="B327" t="str">
            <v>42400SAR</v>
          </cell>
          <cell r="C327" t="str">
            <v>42400SAUDI ARABIA</v>
          </cell>
          <cell r="D327" t="str">
            <v>SAR</v>
          </cell>
          <cell r="E327">
            <v>4.8683054536228267</v>
          </cell>
          <cell r="F327">
            <v>1.7006258999999999</v>
          </cell>
          <cell r="G327" t="str">
            <v>SAUDI ARABIA</v>
          </cell>
          <cell r="H327">
            <v>6</v>
          </cell>
        </row>
        <row r="328">
          <cell r="B328" t="str">
            <v>42400SEK</v>
          </cell>
          <cell r="C328" t="str">
            <v>42400SWEDEN</v>
          </cell>
          <cell r="D328" t="str">
            <v>SEK</v>
          </cell>
          <cell r="E328">
            <v>3.6829027147684803</v>
          </cell>
          <cell r="F328">
            <v>1.0780859</v>
          </cell>
          <cell r="G328" t="str">
            <v>SWEDEN</v>
          </cell>
          <cell r="H328">
            <v>4</v>
          </cell>
        </row>
        <row r="329">
          <cell r="B329" t="str">
            <v>42400SGD</v>
          </cell>
          <cell r="C329" t="str">
            <v>42400SINGAPORE</v>
          </cell>
          <cell r="D329" t="str">
            <v>SGD</v>
          </cell>
          <cell r="E329">
            <v>3.7507255815726817</v>
          </cell>
          <cell r="F329">
            <v>0.63493144999999995</v>
          </cell>
          <cell r="G329" t="str">
            <v>SINGAPORE</v>
          </cell>
          <cell r="H329">
            <v>5</v>
          </cell>
        </row>
        <row r="330">
          <cell r="B330" t="str">
            <v>42400TZS</v>
          </cell>
          <cell r="C330" t="str">
            <v>42400TANZANIA, UNITED REPUBLIC OF</v>
          </cell>
          <cell r="D330" t="str">
            <v>TZS</v>
          </cell>
          <cell r="E330">
            <v>7.5904147285000203</v>
          </cell>
          <cell r="F330">
            <v>5.8819999999999997</v>
          </cell>
          <cell r="G330" t="str">
            <v>TANZANIA, UNITED REPUBLIC OF</v>
          </cell>
          <cell r="H330">
            <v>5</v>
          </cell>
        </row>
        <row r="331">
          <cell r="B331" t="str">
            <v>42400THB</v>
          </cell>
          <cell r="C331" t="str">
            <v>42400THAILAND</v>
          </cell>
          <cell r="D331" t="str">
            <v>THB</v>
          </cell>
          <cell r="E331">
            <v>3.6830237157572867</v>
          </cell>
          <cell r="F331">
            <v>1.3861779999999999</v>
          </cell>
          <cell r="G331" t="str">
            <v>THAILAND</v>
          </cell>
          <cell r="H331">
            <v>6.0677018658153949</v>
          </cell>
        </row>
        <row r="332">
          <cell r="B332" t="str">
            <v>42400TRY</v>
          </cell>
          <cell r="C332" t="str">
            <v>42400TURKEY</v>
          </cell>
          <cell r="D332" t="str">
            <v>TRY</v>
          </cell>
          <cell r="E332">
            <v>9.0323375381532269</v>
          </cell>
          <cell r="F332">
            <v>7.7802277000000002</v>
          </cell>
          <cell r="G332" t="str">
            <v>TURKEY</v>
          </cell>
          <cell r="H332">
            <v>5</v>
          </cell>
        </row>
        <row r="333">
          <cell r="B333" t="str">
            <v>42400TWD</v>
          </cell>
          <cell r="C333" t="str">
            <v>42400TAIWAN</v>
          </cell>
          <cell r="D333" t="str">
            <v>TWD</v>
          </cell>
          <cell r="E333">
            <v>3.3478746216391944</v>
          </cell>
          <cell r="F333">
            <v>1.1391777999999999</v>
          </cell>
          <cell r="G333" t="str">
            <v>TAIWAN</v>
          </cell>
          <cell r="H333">
            <v>5</v>
          </cell>
        </row>
        <row r="334">
          <cell r="B334" t="str">
            <v>42400UAH</v>
          </cell>
          <cell r="C334" t="str">
            <v>42400UKRAINE</v>
          </cell>
          <cell r="D334" t="str">
            <v>UAH</v>
          </cell>
          <cell r="E334">
            <v>18.394039059892677</v>
          </cell>
          <cell r="F334">
            <v>18.435347</v>
          </cell>
          <cell r="G334" t="str">
            <v>UKRAINE</v>
          </cell>
          <cell r="H334">
            <v>5</v>
          </cell>
        </row>
        <row r="335">
          <cell r="B335" t="str">
            <v>42400USD</v>
          </cell>
          <cell r="C335" t="str">
            <v>42400UNITED STATES</v>
          </cell>
          <cell r="D335" t="str">
            <v>USD</v>
          </cell>
          <cell r="E335">
            <v>3.7543520469065319</v>
          </cell>
          <cell r="F335">
            <v>1.7006258999999999</v>
          </cell>
          <cell r="G335" t="str">
            <v>UNITED STATES</v>
          </cell>
          <cell r="H335">
            <v>5</v>
          </cell>
        </row>
        <row r="336">
          <cell r="B336" t="str">
            <v>42400VND</v>
          </cell>
          <cell r="C336" t="str">
            <v>42400VIET NAM</v>
          </cell>
          <cell r="D336" t="str">
            <v>VND</v>
          </cell>
          <cell r="E336">
            <v>5.7766957234542762</v>
          </cell>
          <cell r="F336">
            <v>3.4</v>
          </cell>
          <cell r="G336" t="str">
            <v>VIET NAM</v>
          </cell>
          <cell r="H336">
            <v>5</v>
          </cell>
        </row>
        <row r="337">
          <cell r="B337" t="str">
            <v>42400ZAR</v>
          </cell>
          <cell r="C337" t="str">
            <v>42400SOUTH AFRICA</v>
          </cell>
          <cell r="D337" t="str">
            <v>ZAR</v>
          </cell>
          <cell r="E337">
            <v>7.7159820380363211</v>
          </cell>
          <cell r="F337">
            <v>5.7731479999999999</v>
          </cell>
          <cell r="G337" t="str">
            <v>SOUTH AFRICA</v>
          </cell>
          <cell r="H337">
            <v>5</v>
          </cell>
        </row>
        <row r="338">
          <cell r="B338" t="str">
            <v>42400EUR1</v>
          </cell>
          <cell r="C338" t="str">
            <v>42400BELGIUM</v>
          </cell>
          <cell r="D338" t="str">
            <v>EUR1</v>
          </cell>
          <cell r="E338">
            <v>3.3352315657809752</v>
          </cell>
          <cell r="G338" t="str">
            <v>BELGIUM</v>
          </cell>
          <cell r="H338">
            <v>4</v>
          </cell>
        </row>
        <row r="339">
          <cell r="B339" t="str">
            <v>42400EUR2</v>
          </cell>
          <cell r="C339" t="str">
            <v>42400CYPRUS</v>
          </cell>
          <cell r="D339" t="str">
            <v>EUR2</v>
          </cell>
          <cell r="E339">
            <v>3.3352315657809752</v>
          </cell>
          <cell r="G339" t="str">
            <v>CYPRUS</v>
          </cell>
          <cell r="H339">
            <v>5</v>
          </cell>
        </row>
        <row r="340">
          <cell r="B340" t="str">
            <v>42400EUR3</v>
          </cell>
          <cell r="C340" t="str">
            <v>42400ESTONIA</v>
          </cell>
          <cell r="D340" t="str">
            <v>EUR3</v>
          </cell>
          <cell r="E340">
            <v>3.3352315657809752</v>
          </cell>
          <cell r="G340" t="str">
            <v>ESTONIA</v>
          </cell>
          <cell r="H340">
            <v>5</v>
          </cell>
        </row>
        <row r="341">
          <cell r="B341" t="str">
            <v>42400EUR4</v>
          </cell>
          <cell r="C341" t="str">
            <v>42400FINLAND</v>
          </cell>
          <cell r="D341" t="str">
            <v>EUR4</v>
          </cell>
          <cell r="E341">
            <v>3.3352315657809752</v>
          </cell>
          <cell r="G341" t="str">
            <v>FINLAND</v>
          </cell>
          <cell r="H341">
            <v>4</v>
          </cell>
        </row>
        <row r="342">
          <cell r="B342" t="str">
            <v>42400EUR5</v>
          </cell>
          <cell r="C342" t="str">
            <v>42400FRANCE</v>
          </cell>
          <cell r="D342" t="str">
            <v>EUR5</v>
          </cell>
          <cell r="E342">
            <v>3.3352315657809752</v>
          </cell>
          <cell r="G342" t="str">
            <v>FRANCE</v>
          </cell>
          <cell r="H342">
            <v>4</v>
          </cell>
        </row>
        <row r="343">
          <cell r="B343" t="str">
            <v>42400EUR6</v>
          </cell>
          <cell r="C343" t="str">
            <v>42400GERMANY</v>
          </cell>
          <cell r="D343" t="str">
            <v>EUR6</v>
          </cell>
          <cell r="E343">
            <v>3.3352315657809752</v>
          </cell>
          <cell r="G343" t="str">
            <v>GERMANY</v>
          </cell>
          <cell r="H343">
            <v>4.1604940996504878</v>
          </cell>
        </row>
        <row r="344">
          <cell r="B344" t="str">
            <v>42400EUR7</v>
          </cell>
          <cell r="C344" t="str">
            <v>42400GREECE</v>
          </cell>
          <cell r="D344" t="str">
            <v>EUR7</v>
          </cell>
          <cell r="E344">
            <v>3.3352315657809752</v>
          </cell>
          <cell r="G344" t="str">
            <v>GREECE</v>
          </cell>
          <cell r="H344">
            <v>10</v>
          </cell>
        </row>
        <row r="345">
          <cell r="B345" t="str">
            <v>42400EUR8</v>
          </cell>
          <cell r="C345" t="str">
            <v>42400IRELAND</v>
          </cell>
          <cell r="D345" t="str">
            <v>EUR8</v>
          </cell>
          <cell r="E345">
            <v>3.3352315657809752</v>
          </cell>
          <cell r="G345" t="str">
            <v>IRELAND</v>
          </cell>
          <cell r="H345">
            <v>4</v>
          </cell>
        </row>
        <row r="346">
          <cell r="B346" t="str">
            <v>42400EUR9</v>
          </cell>
          <cell r="C346" t="str">
            <v>42400ITALY</v>
          </cell>
          <cell r="D346" t="str">
            <v>EUR9</v>
          </cell>
          <cell r="E346">
            <v>3.3352315657809752</v>
          </cell>
          <cell r="G346" t="str">
            <v>ITALY</v>
          </cell>
          <cell r="H346">
            <v>4</v>
          </cell>
        </row>
        <row r="347">
          <cell r="B347" t="str">
            <v>42400EUR10</v>
          </cell>
          <cell r="C347" t="str">
            <v>42400LATVIA</v>
          </cell>
          <cell r="D347" t="str">
            <v>EUR10</v>
          </cell>
          <cell r="E347">
            <v>3.3352315657809752</v>
          </cell>
          <cell r="G347" t="str">
            <v>LATVIA</v>
          </cell>
          <cell r="H347">
            <v>5</v>
          </cell>
        </row>
        <row r="348">
          <cell r="B348" t="str">
            <v>42400EUR11</v>
          </cell>
          <cell r="C348" t="str">
            <v>42400LUXEMBOURG</v>
          </cell>
          <cell r="D348" t="str">
            <v>EUR11</v>
          </cell>
          <cell r="E348">
            <v>3.3352315657809752</v>
          </cell>
          <cell r="G348" t="str">
            <v>LUXEMBOURG</v>
          </cell>
          <cell r="H348">
            <v>5</v>
          </cell>
        </row>
        <row r="349">
          <cell r="B349" t="str">
            <v>42400EUR12</v>
          </cell>
          <cell r="C349" t="str">
            <v>42400MALTA</v>
          </cell>
          <cell r="D349" t="str">
            <v>EUR12</v>
          </cell>
          <cell r="E349">
            <v>3.3352315657809752</v>
          </cell>
          <cell r="G349" t="str">
            <v>MALTA</v>
          </cell>
          <cell r="H349">
            <v>5</v>
          </cell>
        </row>
        <row r="350">
          <cell r="B350" t="str">
            <v>42400EUR13</v>
          </cell>
          <cell r="C350" t="str">
            <v>42400MONTENEGRO</v>
          </cell>
          <cell r="D350" t="str">
            <v>EUR13</v>
          </cell>
          <cell r="E350">
            <v>3.3352315657809752</v>
          </cell>
          <cell r="G350" t="str">
            <v>MONTENEGRO</v>
          </cell>
          <cell r="H350">
            <v>5</v>
          </cell>
        </row>
        <row r="351">
          <cell r="B351" t="str">
            <v>42400EUR14</v>
          </cell>
          <cell r="C351" t="str">
            <v>42400NETHERLANDS</v>
          </cell>
          <cell r="D351" t="str">
            <v>EUR14</v>
          </cell>
          <cell r="E351">
            <v>3.3352315657809752</v>
          </cell>
          <cell r="G351" t="str">
            <v>NETHERLANDS</v>
          </cell>
          <cell r="H351">
            <v>4</v>
          </cell>
        </row>
        <row r="352">
          <cell r="B352" t="str">
            <v>42400EUR15</v>
          </cell>
          <cell r="C352" t="str">
            <v>42400PORTUGAL</v>
          </cell>
          <cell r="D352" t="str">
            <v>EUR15</v>
          </cell>
          <cell r="E352">
            <v>3.3352315657809752</v>
          </cell>
          <cell r="G352" t="str">
            <v>PORTUGAL</v>
          </cell>
          <cell r="H352">
            <v>4</v>
          </cell>
        </row>
        <row r="353">
          <cell r="B353" t="str">
            <v>42400EUR16</v>
          </cell>
          <cell r="C353" t="str">
            <v>42400SLOVAKIA</v>
          </cell>
          <cell r="D353" t="str">
            <v>EUR16</v>
          </cell>
          <cell r="E353">
            <v>3.3352315657809752</v>
          </cell>
          <cell r="G353" t="str">
            <v>SLOVAKIA</v>
          </cell>
          <cell r="H353">
            <v>5</v>
          </cell>
        </row>
        <row r="354">
          <cell r="B354" t="str">
            <v>42400EUR17</v>
          </cell>
          <cell r="C354" t="str">
            <v>42400SLOVENIA</v>
          </cell>
          <cell r="D354" t="str">
            <v>EUR17</v>
          </cell>
          <cell r="E354">
            <v>3.3352315657809752</v>
          </cell>
          <cell r="G354" t="str">
            <v>SLOVENIA</v>
          </cell>
          <cell r="H354">
            <v>5</v>
          </cell>
        </row>
        <row r="355">
          <cell r="B355" t="str">
            <v>42400EUR18</v>
          </cell>
          <cell r="C355" t="str">
            <v>42400SPAIN</v>
          </cell>
          <cell r="D355" t="str">
            <v>EUR18</v>
          </cell>
          <cell r="E355">
            <v>3.3352315657809752</v>
          </cell>
          <cell r="G355" t="str">
            <v>SPAIN</v>
          </cell>
          <cell r="H355">
            <v>4</v>
          </cell>
        </row>
        <row r="356">
          <cell r="B356" t="str">
            <v>42400Eastern European Institutions</v>
          </cell>
          <cell r="C356" t="str">
            <v>42400Eastern European Institutions</v>
          </cell>
          <cell r="D356" t="str">
            <v>Eastern European Institutions</v>
          </cell>
          <cell r="E356">
            <v>2.25</v>
          </cell>
          <cell r="G356" t="str">
            <v>Eastern European Institutions</v>
          </cell>
          <cell r="H356">
            <v>5</v>
          </cell>
        </row>
        <row r="357">
          <cell r="B357" t="str">
            <v>42429AED</v>
          </cell>
          <cell r="C357" t="str">
            <v>42429U. A. E.</v>
          </cell>
          <cell r="D357" t="str">
            <v>AED</v>
          </cell>
          <cell r="E357">
            <v>5.299649493533968</v>
          </cell>
          <cell r="F357">
            <v>1.7006258999999999</v>
          </cell>
          <cell r="G357" t="str">
            <v>U. A. E.</v>
          </cell>
          <cell r="H357">
            <v>5</v>
          </cell>
        </row>
        <row r="358">
          <cell r="B358" t="str">
            <v>42429ARS</v>
          </cell>
          <cell r="C358" t="str">
            <v>42429ARGENTINA</v>
          </cell>
          <cell r="D358" t="str">
            <v>ARS</v>
          </cell>
          <cell r="E358">
            <v>25.118245172144984</v>
          </cell>
          <cell r="F358">
            <v>31.788546</v>
          </cell>
          <cell r="G358" t="str">
            <v>ARGENTINA</v>
          </cell>
          <cell r="H358">
            <v>5</v>
          </cell>
        </row>
        <row r="359">
          <cell r="B359" t="str">
            <v>42429AUD</v>
          </cell>
          <cell r="C359" t="str">
            <v>42429AUSTRALIA</v>
          </cell>
          <cell r="D359" t="str">
            <v>AUD</v>
          </cell>
          <cell r="E359">
            <v>4.611220469902281</v>
          </cell>
          <cell r="F359">
            <v>2.4104804999999998</v>
          </cell>
          <cell r="G359" t="str">
            <v>AUSTRALIA</v>
          </cell>
          <cell r="H359">
            <v>4.6374300560304293</v>
          </cell>
        </row>
        <row r="360">
          <cell r="B360" t="str">
            <v>42429BDT</v>
          </cell>
          <cell r="C360" t="str">
            <v>42429BANGLADESH</v>
          </cell>
          <cell r="D360" t="str">
            <v>BDT</v>
          </cell>
          <cell r="E360">
            <v>8.8206939891289515</v>
          </cell>
          <cell r="F360">
            <v>6.3</v>
          </cell>
          <cell r="G360" t="str">
            <v>BANGLADESH</v>
          </cell>
          <cell r="H360">
            <v>5</v>
          </cell>
        </row>
        <row r="361">
          <cell r="B361" t="str">
            <v>42429BRL</v>
          </cell>
          <cell r="C361" t="str">
            <v>42429BRAZIL</v>
          </cell>
          <cell r="D361" t="str">
            <v>BRL</v>
          </cell>
          <cell r="E361">
            <v>8.2780214549920608</v>
          </cell>
          <cell r="F361">
            <v>6.6228309999999997</v>
          </cell>
          <cell r="G361" t="str">
            <v>BRAZIL</v>
          </cell>
          <cell r="H361">
            <v>7</v>
          </cell>
        </row>
        <row r="362">
          <cell r="B362" t="str">
            <v>42429BWP</v>
          </cell>
          <cell r="C362" t="str">
            <v>42429BOTSWANA</v>
          </cell>
          <cell r="D362" t="str">
            <v>BWP</v>
          </cell>
          <cell r="E362">
            <v>6.5670893390217957</v>
          </cell>
          <cell r="F362">
            <v>4.3550000000000004</v>
          </cell>
          <cell r="G362" t="str">
            <v>BOTSWANA</v>
          </cell>
          <cell r="H362">
            <v>5</v>
          </cell>
        </row>
        <row r="363">
          <cell r="B363" t="str">
            <v>42429CAD</v>
          </cell>
          <cell r="C363" t="str">
            <v>42429CANADA</v>
          </cell>
          <cell r="D363" t="str">
            <v>CAD</v>
          </cell>
          <cell r="E363">
            <v>4.0912501559647687</v>
          </cell>
          <cell r="F363">
            <v>1.9147896</v>
          </cell>
          <cell r="G363" t="str">
            <v>CANADA</v>
          </cell>
          <cell r="H363">
            <v>5</v>
          </cell>
        </row>
        <row r="364">
          <cell r="B364" t="str">
            <v>42429CHF</v>
          </cell>
          <cell r="C364" t="str">
            <v>42429SWITZERLAND</v>
          </cell>
          <cell r="D364" t="str">
            <v>CHF</v>
          </cell>
          <cell r="E364">
            <v>2.4217635718133215</v>
          </cell>
          <cell r="F364">
            <v>-0.29668644</v>
          </cell>
          <cell r="G364" t="str">
            <v>SWITZERLAND</v>
          </cell>
          <cell r="H364">
            <v>4</v>
          </cell>
        </row>
        <row r="365">
          <cell r="B365" t="str">
            <v>42429CLP</v>
          </cell>
          <cell r="C365" t="str">
            <v>42429CHILE</v>
          </cell>
          <cell r="D365" t="str">
            <v>CLP</v>
          </cell>
          <cell r="E365">
            <v>5.6565771708428505</v>
          </cell>
          <cell r="F365">
            <v>3.4220571999999998</v>
          </cell>
          <cell r="G365" t="str">
            <v>CHILE</v>
          </cell>
          <cell r="H365">
            <v>5</v>
          </cell>
        </row>
        <row r="366">
          <cell r="B366" t="str">
            <v>42429CNY</v>
          </cell>
          <cell r="C366" t="str">
            <v>42429CHINA</v>
          </cell>
          <cell r="D366" t="str">
            <v>CNY</v>
          </cell>
          <cell r="E366">
            <v>4.4486505259327105</v>
          </cell>
          <cell r="F366">
            <v>1.7006528000000001</v>
          </cell>
          <cell r="G366" t="str">
            <v>CHINA</v>
          </cell>
          <cell r="H366">
            <v>5</v>
          </cell>
        </row>
        <row r="367">
          <cell r="B367" t="str">
            <v>42429COP</v>
          </cell>
          <cell r="C367" t="str">
            <v>42429COLOMBIA</v>
          </cell>
          <cell r="D367" t="str">
            <v>COP</v>
          </cell>
          <cell r="E367">
            <v>5.6625849671774899</v>
          </cell>
          <cell r="F367">
            <v>4.0797280000000002</v>
          </cell>
          <cell r="G367" t="str">
            <v>COLOMBIA</v>
          </cell>
          <cell r="H367">
            <v>5</v>
          </cell>
        </row>
        <row r="368">
          <cell r="B368" t="str">
            <v>42429CZK</v>
          </cell>
          <cell r="C368" t="str">
            <v>42429CZECH REPUBLIC</v>
          </cell>
          <cell r="D368" t="str">
            <v>CZK</v>
          </cell>
          <cell r="E368">
            <v>3.817219939843234</v>
          </cell>
          <cell r="F368">
            <v>1.3469622999999999</v>
          </cell>
          <cell r="G368" t="str">
            <v>CZECH REPUBLIC</v>
          </cell>
          <cell r="H368">
            <v>5</v>
          </cell>
        </row>
        <row r="369">
          <cell r="B369" t="str">
            <v>42429DKK</v>
          </cell>
          <cell r="C369" t="str">
            <v>42429DENMARK</v>
          </cell>
          <cell r="D369" t="str">
            <v>DKK</v>
          </cell>
          <cell r="E369">
            <v>3.9083065897722626</v>
          </cell>
          <cell r="F369">
            <v>1.4369757999999999</v>
          </cell>
          <cell r="G369" t="str">
            <v>DENMARK</v>
          </cell>
          <cell r="H369">
            <v>4</v>
          </cell>
        </row>
        <row r="370">
          <cell r="B370" t="str">
            <v>42429EGP</v>
          </cell>
          <cell r="C370" t="str">
            <v>42429EGYPT</v>
          </cell>
          <cell r="D370" t="str">
            <v>EGP</v>
          </cell>
          <cell r="E370">
            <v>11.585875407778161</v>
          </cell>
          <cell r="F370">
            <v>9.6390419999999999</v>
          </cell>
          <cell r="G370" t="str">
            <v>EGYPT</v>
          </cell>
          <cell r="H370">
            <v>5</v>
          </cell>
        </row>
        <row r="371">
          <cell r="B371" t="str">
            <v>42429EUR</v>
          </cell>
          <cell r="C371" t="str">
            <v>42429AUSTRIA</v>
          </cell>
          <cell r="D371" t="str">
            <v>EUR</v>
          </cell>
          <cell r="E371">
            <v>3.3352315657809752</v>
          </cell>
          <cell r="F371">
            <v>1.0399</v>
          </cell>
          <cell r="G371" t="str">
            <v>AUSTRIA</v>
          </cell>
          <cell r="H371">
            <v>4</v>
          </cell>
        </row>
        <row r="372">
          <cell r="B372" t="str">
            <v>42429GBP</v>
          </cell>
          <cell r="C372" t="str">
            <v>42429UNITED KINGDOM</v>
          </cell>
          <cell r="D372" t="str">
            <v>GBP</v>
          </cell>
          <cell r="E372">
            <v>3.7602072721388859</v>
          </cell>
          <cell r="F372">
            <v>1.1386039999999999</v>
          </cell>
          <cell r="G372" t="str">
            <v>UNITED KINGDOM</v>
          </cell>
          <cell r="H372">
            <v>4</v>
          </cell>
        </row>
        <row r="373">
          <cell r="B373" t="str">
            <v>42429HKD</v>
          </cell>
          <cell r="C373" t="str">
            <v>42429HONG KONG</v>
          </cell>
          <cell r="D373" t="str">
            <v>HKD</v>
          </cell>
          <cell r="E373">
            <v>5.3698565407867473</v>
          </cell>
          <cell r="F373">
            <v>1.7006258999999999</v>
          </cell>
          <cell r="G373" t="str">
            <v>HONG KONG</v>
          </cell>
          <cell r="H373">
            <v>3.5787939851459631</v>
          </cell>
        </row>
        <row r="374">
          <cell r="B374" t="str">
            <v>42429HUF</v>
          </cell>
          <cell r="C374" t="str">
            <v>42429HUNGARY</v>
          </cell>
          <cell r="D374" t="str">
            <v>HUF</v>
          </cell>
          <cell r="E374">
            <v>4.550240991131286</v>
          </cell>
          <cell r="F374">
            <v>1.9026227</v>
          </cell>
          <cell r="G374" t="str">
            <v>HUNGARY</v>
          </cell>
          <cell r="H374">
            <v>5</v>
          </cell>
        </row>
        <row r="375">
          <cell r="B375" t="str">
            <v>42429IDR</v>
          </cell>
          <cell r="C375" t="str">
            <v>42429INDONESIA</v>
          </cell>
          <cell r="D375" t="str">
            <v>IDR</v>
          </cell>
          <cell r="E375">
            <v>7.3853914869320505</v>
          </cell>
          <cell r="F375">
            <v>4.8624124999999996</v>
          </cell>
          <cell r="G375" t="str">
            <v>INDONESIA</v>
          </cell>
          <cell r="H375">
            <v>5</v>
          </cell>
        </row>
        <row r="376">
          <cell r="B376" t="str">
            <v>42429ILS</v>
          </cell>
          <cell r="C376" t="str">
            <v>42429ISRAEL</v>
          </cell>
          <cell r="D376" t="str">
            <v>ILS</v>
          </cell>
          <cell r="E376">
            <v>3.8364586503774758</v>
          </cell>
          <cell r="F376">
            <v>0.84370445999999999</v>
          </cell>
          <cell r="G376" t="str">
            <v>ISRAEL</v>
          </cell>
          <cell r="H376">
            <v>5</v>
          </cell>
        </row>
        <row r="377">
          <cell r="B377" t="str">
            <v>42429INR</v>
          </cell>
          <cell r="C377" t="str">
            <v>42429INDIA</v>
          </cell>
          <cell r="D377" t="str">
            <v>INR</v>
          </cell>
          <cell r="E377">
            <v>7.5053317444017811</v>
          </cell>
          <cell r="F377">
            <v>5.2725334000000004</v>
          </cell>
          <cell r="G377" t="str">
            <v>INDIA</v>
          </cell>
          <cell r="H377">
            <v>5</v>
          </cell>
        </row>
        <row r="378">
          <cell r="B378" t="str">
            <v>42429IQD</v>
          </cell>
          <cell r="C378" t="str">
            <v>42429IRAQ</v>
          </cell>
          <cell r="D378" t="str">
            <v>IQD</v>
          </cell>
          <cell r="E378">
            <v>5.0242122627077093</v>
          </cell>
          <cell r="F378">
            <v>3</v>
          </cell>
          <cell r="G378" t="str">
            <v>IRAQ</v>
          </cell>
          <cell r="H378">
            <v>5</v>
          </cell>
        </row>
        <row r="379">
          <cell r="B379" t="str">
            <v>42429JPY</v>
          </cell>
          <cell r="C379" t="str">
            <v>42429JAPAN</v>
          </cell>
          <cell r="D379" t="str">
            <v>JPY</v>
          </cell>
          <cell r="E379">
            <v>3.2542629597647235</v>
          </cell>
          <cell r="F379">
            <v>0.72125110000000003</v>
          </cell>
          <cell r="G379" t="str">
            <v>JAPAN</v>
          </cell>
          <cell r="H379">
            <v>5</v>
          </cell>
        </row>
        <row r="380">
          <cell r="B380" t="str">
            <v>42429KES</v>
          </cell>
          <cell r="C380" t="str">
            <v>42429KENYA</v>
          </cell>
          <cell r="D380" t="str">
            <v>KES</v>
          </cell>
          <cell r="E380">
            <v>7.7105698935640046</v>
          </cell>
          <cell r="F380">
            <v>6.5</v>
          </cell>
          <cell r="G380" t="str">
            <v>KENYA</v>
          </cell>
          <cell r="H380">
            <v>5</v>
          </cell>
        </row>
        <row r="381">
          <cell r="B381" t="str">
            <v>42429KHR</v>
          </cell>
          <cell r="C381" t="str">
            <v>42429CAMBODIA</v>
          </cell>
          <cell r="D381" t="str">
            <v>KHR</v>
          </cell>
          <cell r="E381">
            <v>4.5975692462509024</v>
          </cell>
          <cell r="G381" t="str">
            <v>CAMBODIA</v>
          </cell>
          <cell r="H381">
            <v>5</v>
          </cell>
        </row>
        <row r="382">
          <cell r="B382" t="str">
            <v>42429KRW</v>
          </cell>
          <cell r="C382" t="str">
            <v>42429KOREA SOUTH(REPUBLIC OF KOREA)</v>
          </cell>
          <cell r="D382" t="str">
            <v>KRW</v>
          </cell>
          <cell r="E382">
            <v>4.5454409262545772</v>
          </cell>
          <cell r="F382">
            <v>1.4778936</v>
          </cell>
          <cell r="G382" t="str">
            <v>KOREA SOUTH(REPUBLIC OF KOREA)</v>
          </cell>
          <cell r="H382">
            <v>5</v>
          </cell>
        </row>
        <row r="383">
          <cell r="B383" t="str">
            <v>42429KWD</v>
          </cell>
          <cell r="C383" t="str">
            <v>42429KUWAIT</v>
          </cell>
          <cell r="D383" t="str">
            <v>KWD</v>
          </cell>
          <cell r="E383">
            <v>5.669953575332535</v>
          </cell>
          <cell r="F383">
            <v>3.5</v>
          </cell>
          <cell r="G383" t="str">
            <v>KUWAIT</v>
          </cell>
          <cell r="H383">
            <v>5</v>
          </cell>
        </row>
        <row r="384">
          <cell r="B384" t="str">
            <v>42429LKR</v>
          </cell>
          <cell r="C384" t="str">
            <v>42429SRI LANKA</v>
          </cell>
          <cell r="D384" t="str">
            <v>LKR</v>
          </cell>
          <cell r="E384">
            <v>6.1325860123118838</v>
          </cell>
          <cell r="F384">
            <v>3.9</v>
          </cell>
          <cell r="G384" t="str">
            <v>SRI LANKA</v>
          </cell>
          <cell r="H384">
            <v>5</v>
          </cell>
        </row>
        <row r="385">
          <cell r="B385" t="str">
            <v>42429KZT</v>
          </cell>
          <cell r="C385" t="str">
            <v>42429KAZAKHSTAN</v>
          </cell>
          <cell r="D385" t="str">
            <v>KZT</v>
          </cell>
          <cell r="E385">
            <v>9.3990001723787842</v>
          </cell>
          <cell r="F385">
            <v>8.57</v>
          </cell>
          <cell r="G385" t="str">
            <v>KAZAKHSTAN</v>
          </cell>
          <cell r="H385">
            <v>5</v>
          </cell>
        </row>
        <row r="386">
          <cell r="B386" t="str">
            <v>42429MAD</v>
          </cell>
          <cell r="C386" t="str">
            <v>42429MOROCCO</v>
          </cell>
          <cell r="D386" t="str">
            <v>MAD</v>
          </cell>
          <cell r="E386">
            <v>4.1498033428810901</v>
          </cell>
          <cell r="F386">
            <v>1.5</v>
          </cell>
          <cell r="G386" t="str">
            <v>MOROCCO</v>
          </cell>
          <cell r="H386">
            <v>5</v>
          </cell>
        </row>
        <row r="387">
          <cell r="B387" t="str">
            <v>42429MXN</v>
          </cell>
          <cell r="C387" t="str">
            <v>42429MEXICO</v>
          </cell>
          <cell r="D387" t="str">
            <v>MXN</v>
          </cell>
          <cell r="E387">
            <v>5.2083704891747997</v>
          </cell>
          <cell r="F387">
            <v>3.3264358000000001</v>
          </cell>
          <cell r="G387" t="str">
            <v>MEXICO</v>
          </cell>
          <cell r="H387">
            <v>5</v>
          </cell>
        </row>
        <row r="388">
          <cell r="B388" t="str">
            <v>42429MYR</v>
          </cell>
          <cell r="C388" t="str">
            <v>42429MALAYSIA</v>
          </cell>
          <cell r="D388" t="str">
            <v>MYR</v>
          </cell>
          <cell r="E388">
            <v>5.289038357842605</v>
          </cell>
          <cell r="F388">
            <v>3.0220107999999999</v>
          </cell>
          <cell r="G388" t="str">
            <v>MALAYSIA</v>
          </cell>
          <cell r="H388">
            <v>5</v>
          </cell>
        </row>
        <row r="389">
          <cell r="B389" t="str">
            <v>42429NGN</v>
          </cell>
          <cell r="C389" t="str">
            <v>42429NIGERIA</v>
          </cell>
          <cell r="D389" t="str">
            <v>NGN</v>
          </cell>
          <cell r="E389">
            <v>10.77140503526706</v>
          </cell>
          <cell r="F389">
            <v>9.9646080000000001</v>
          </cell>
          <cell r="G389" t="str">
            <v>NIGERIA</v>
          </cell>
          <cell r="H389">
            <v>7</v>
          </cell>
        </row>
        <row r="390">
          <cell r="B390" t="str">
            <v>42429NOK</v>
          </cell>
          <cell r="C390" t="str">
            <v>42429NORWAY</v>
          </cell>
          <cell r="D390" t="str">
            <v>NOK</v>
          </cell>
          <cell r="E390">
            <v>4.5999267458624518</v>
          </cell>
          <cell r="F390">
            <v>2.4895193999999998</v>
          </cell>
          <cell r="G390" t="str">
            <v>NORWAY</v>
          </cell>
          <cell r="H390">
            <v>4</v>
          </cell>
        </row>
        <row r="391">
          <cell r="B391" t="str">
            <v>42429NZD</v>
          </cell>
          <cell r="C391" t="str">
            <v>42429NEW ZEALAND</v>
          </cell>
          <cell r="D391" t="str">
            <v>NZD</v>
          </cell>
          <cell r="E391">
            <v>3.7956002733151841</v>
          </cell>
          <cell r="F391">
            <v>1.6704615</v>
          </cell>
          <cell r="G391" t="str">
            <v>NEW ZEALAND</v>
          </cell>
          <cell r="H391">
            <v>5.4530502526175262</v>
          </cell>
        </row>
        <row r="392">
          <cell r="B392" t="str">
            <v>42429OMR</v>
          </cell>
          <cell r="C392" t="str">
            <v>42429OMAN</v>
          </cell>
          <cell r="D392" t="str">
            <v>OMR</v>
          </cell>
          <cell r="E392">
            <v>4.4482255110273519</v>
          </cell>
          <cell r="F392">
            <v>1.7006258999999999</v>
          </cell>
          <cell r="G392" t="str">
            <v>OMAN</v>
          </cell>
          <cell r="H392">
            <v>5</v>
          </cell>
        </row>
        <row r="393">
          <cell r="B393" t="str">
            <v>42429PEN</v>
          </cell>
          <cell r="C393" t="str">
            <v>42429PERU</v>
          </cell>
          <cell r="D393" t="str">
            <v>PEN</v>
          </cell>
          <cell r="E393">
            <v>4.6692131877545764</v>
          </cell>
          <cell r="F393">
            <v>3.2459986000000001</v>
          </cell>
          <cell r="G393" t="str">
            <v>PERU</v>
          </cell>
          <cell r="H393">
            <v>5</v>
          </cell>
        </row>
        <row r="394">
          <cell r="B394" t="str">
            <v>42429PHP</v>
          </cell>
          <cell r="C394" t="str">
            <v>42429PHILIPPINES</v>
          </cell>
          <cell r="D394" t="str">
            <v>PHP</v>
          </cell>
          <cell r="E394">
            <v>5.3904633216530087</v>
          </cell>
          <cell r="F394">
            <v>2.4938380000000002</v>
          </cell>
          <cell r="G394" t="str">
            <v>PHILIPPINES</v>
          </cell>
          <cell r="H394">
            <v>5</v>
          </cell>
        </row>
        <row r="395">
          <cell r="B395" t="str">
            <v>42429PKR</v>
          </cell>
          <cell r="C395" t="str">
            <v>42429PAKISTAN</v>
          </cell>
          <cell r="D395" t="str">
            <v>PKR</v>
          </cell>
          <cell r="E395">
            <v>7.1962804265149263</v>
          </cell>
          <cell r="F395">
            <v>5.2</v>
          </cell>
          <cell r="G395" t="str">
            <v>PAKISTAN</v>
          </cell>
          <cell r="H395">
            <v>5</v>
          </cell>
        </row>
        <row r="396">
          <cell r="B396" t="str">
            <v>42429PLN</v>
          </cell>
          <cell r="C396" t="str">
            <v>42429POLAND</v>
          </cell>
          <cell r="D396" t="str">
            <v>PLN</v>
          </cell>
          <cell r="E396">
            <v>3.6358132610942375</v>
          </cell>
          <cell r="F396">
            <v>1.1570753</v>
          </cell>
          <cell r="G396" t="str">
            <v>POLAND</v>
          </cell>
          <cell r="H396">
            <v>5</v>
          </cell>
        </row>
        <row r="397">
          <cell r="B397" t="str">
            <v>42429QAR</v>
          </cell>
          <cell r="C397" t="str">
            <v>42429QATAR</v>
          </cell>
          <cell r="D397" t="str">
            <v>QAR</v>
          </cell>
          <cell r="E397">
            <v>4.6723623927241977</v>
          </cell>
          <cell r="F397">
            <v>1.7006258999999999</v>
          </cell>
          <cell r="G397" t="str">
            <v>QATAR</v>
          </cell>
          <cell r="H397">
            <v>5</v>
          </cell>
        </row>
        <row r="398">
          <cell r="B398" t="str">
            <v>42429RON</v>
          </cell>
          <cell r="C398" t="str">
            <v>42429ROMANIA</v>
          </cell>
          <cell r="D398" t="str">
            <v>RON</v>
          </cell>
          <cell r="E398">
            <v>3.6204488094398837</v>
          </cell>
          <cell r="F398">
            <v>-0.18888994000000001</v>
          </cell>
          <cell r="G398" t="str">
            <v>ROMANIA</v>
          </cell>
          <cell r="H398">
            <v>5</v>
          </cell>
        </row>
        <row r="399">
          <cell r="B399" t="str">
            <v>42429RUB</v>
          </cell>
          <cell r="C399" t="str">
            <v>42429RUSSIAN FEDERATION</v>
          </cell>
          <cell r="D399" t="str">
            <v>RUB</v>
          </cell>
          <cell r="E399">
            <v>10.306426910337745</v>
          </cell>
          <cell r="F399">
            <v>7.2920011999999996</v>
          </cell>
          <cell r="G399" t="str">
            <v>RUSSIAN FEDERATION</v>
          </cell>
          <cell r="H399">
            <v>5</v>
          </cell>
        </row>
        <row r="400">
          <cell r="B400" t="str">
            <v>42429SAR</v>
          </cell>
          <cell r="C400" t="str">
            <v>42429SAUDI ARABIA</v>
          </cell>
          <cell r="D400" t="str">
            <v>SAR</v>
          </cell>
          <cell r="E400">
            <v>4.8683054536228267</v>
          </cell>
          <cell r="F400">
            <v>1.7006258999999999</v>
          </cell>
          <cell r="G400" t="str">
            <v>SAUDI ARABIA</v>
          </cell>
          <cell r="H400">
            <v>5</v>
          </cell>
        </row>
        <row r="401">
          <cell r="B401" t="str">
            <v>42429SEK</v>
          </cell>
          <cell r="C401" t="str">
            <v>42429SWEDEN</v>
          </cell>
          <cell r="D401" t="str">
            <v>SEK</v>
          </cell>
          <cell r="E401">
            <v>3.6829027147684803</v>
          </cell>
          <cell r="F401">
            <v>1.0780859</v>
          </cell>
          <cell r="G401" t="str">
            <v>SWEDEN</v>
          </cell>
          <cell r="H401">
            <v>4</v>
          </cell>
        </row>
        <row r="402">
          <cell r="B402" t="str">
            <v>42429SGD</v>
          </cell>
          <cell r="C402" t="str">
            <v>42429SINGAPORE</v>
          </cell>
          <cell r="D402" t="str">
            <v>SGD</v>
          </cell>
          <cell r="E402">
            <v>3.7507255815726817</v>
          </cell>
          <cell r="F402">
            <v>0.63493144999999995</v>
          </cell>
          <cell r="G402" t="str">
            <v>SINGAPORE</v>
          </cell>
          <cell r="H402">
            <v>5</v>
          </cell>
        </row>
        <row r="403">
          <cell r="B403" t="str">
            <v>42429TZS</v>
          </cell>
          <cell r="C403" t="str">
            <v>42429TANZANIA, UNITED REPUBLIC OF</v>
          </cell>
          <cell r="D403" t="str">
            <v>TZS</v>
          </cell>
          <cell r="E403">
            <v>7.5904147285000203</v>
          </cell>
          <cell r="F403">
            <v>5.8819999999999997</v>
          </cell>
          <cell r="G403" t="str">
            <v>TANZANIA, UNITED REPUBLIC OF</v>
          </cell>
          <cell r="H403">
            <v>5</v>
          </cell>
        </row>
        <row r="404">
          <cell r="B404" t="str">
            <v>42429THB</v>
          </cell>
          <cell r="C404" t="str">
            <v>42429THAILAND</v>
          </cell>
          <cell r="D404" t="str">
            <v>THB</v>
          </cell>
          <cell r="E404">
            <v>3.6830237157572867</v>
          </cell>
          <cell r="F404">
            <v>1.3861779999999999</v>
          </cell>
          <cell r="G404" t="str">
            <v>THAILAND</v>
          </cell>
          <cell r="H404">
            <v>6.0677018658153949</v>
          </cell>
        </row>
        <row r="405">
          <cell r="B405" t="str">
            <v>42429TRY</v>
          </cell>
          <cell r="C405" t="str">
            <v>42429TURKEY</v>
          </cell>
          <cell r="D405" t="str">
            <v>TRY</v>
          </cell>
          <cell r="E405">
            <v>9.0323375381532269</v>
          </cell>
          <cell r="F405">
            <v>7.7802277000000002</v>
          </cell>
          <cell r="G405" t="str">
            <v>TURKEY</v>
          </cell>
          <cell r="H405">
            <v>5</v>
          </cell>
        </row>
        <row r="406">
          <cell r="B406" t="str">
            <v>42429TWD</v>
          </cell>
          <cell r="C406" t="str">
            <v>42429TAIWAN</v>
          </cell>
          <cell r="D406" t="str">
            <v>TWD</v>
          </cell>
          <cell r="E406">
            <v>3.3478746216391944</v>
          </cell>
          <cell r="F406">
            <v>1.1391777999999999</v>
          </cell>
          <cell r="G406" t="str">
            <v>TAIWAN</v>
          </cell>
          <cell r="H406">
            <v>5</v>
          </cell>
        </row>
        <row r="407">
          <cell r="B407" t="str">
            <v>42429UAH</v>
          </cell>
          <cell r="C407" t="str">
            <v>42429UKRAINE</v>
          </cell>
          <cell r="D407" t="str">
            <v>UAH</v>
          </cell>
          <cell r="E407">
            <v>18.394039059892677</v>
          </cell>
          <cell r="F407">
            <v>18.435347</v>
          </cell>
          <cell r="G407" t="str">
            <v>UKRAINE</v>
          </cell>
          <cell r="H407">
            <v>5</v>
          </cell>
        </row>
        <row r="408">
          <cell r="B408" t="str">
            <v>42429USD</v>
          </cell>
          <cell r="C408" t="str">
            <v>42429UNITED STATES</v>
          </cell>
          <cell r="D408" t="str">
            <v>USD</v>
          </cell>
          <cell r="E408">
            <v>3.7543520469065319</v>
          </cell>
          <cell r="F408">
            <v>1.7006258999999999</v>
          </cell>
          <cell r="G408" t="str">
            <v>UNITED STATES</v>
          </cell>
          <cell r="H408">
            <v>5</v>
          </cell>
        </row>
        <row r="409">
          <cell r="B409" t="str">
            <v>42429VND</v>
          </cell>
          <cell r="C409" t="str">
            <v>42429VIET NAM</v>
          </cell>
          <cell r="D409" t="str">
            <v>VND</v>
          </cell>
          <cell r="E409">
            <v>5.7766957234542762</v>
          </cell>
          <cell r="F409">
            <v>3.4</v>
          </cell>
          <cell r="G409" t="str">
            <v>VIET NAM</v>
          </cell>
          <cell r="H409">
            <v>7</v>
          </cell>
        </row>
        <row r="410">
          <cell r="B410" t="str">
            <v>42429ZAR</v>
          </cell>
          <cell r="C410" t="str">
            <v>42429SOUTH AFRICA</v>
          </cell>
          <cell r="D410" t="str">
            <v>ZAR</v>
          </cell>
          <cell r="E410">
            <v>7.7159820380363211</v>
          </cell>
          <cell r="F410">
            <v>5.7731479999999999</v>
          </cell>
          <cell r="G410" t="str">
            <v>SOUTH AFRICA</v>
          </cell>
          <cell r="H410">
            <v>5</v>
          </cell>
        </row>
        <row r="411">
          <cell r="B411" t="str">
            <v>42429EUR1</v>
          </cell>
          <cell r="C411" t="str">
            <v>42429BELGIUM</v>
          </cell>
          <cell r="D411" t="str">
            <v>EUR1</v>
          </cell>
          <cell r="E411">
            <v>3.3352315657809752</v>
          </cell>
          <cell r="G411" t="str">
            <v>BELGIUM</v>
          </cell>
          <cell r="H411">
            <v>4</v>
          </cell>
        </row>
        <row r="412">
          <cell r="B412" t="str">
            <v>42429EUR2</v>
          </cell>
          <cell r="C412" t="str">
            <v>42429CYPRUS</v>
          </cell>
          <cell r="D412" t="str">
            <v>EUR2</v>
          </cell>
          <cell r="E412">
            <v>3.3352315657809752</v>
          </cell>
          <cell r="G412" t="str">
            <v>CYPRUS</v>
          </cell>
          <cell r="H412">
            <v>5</v>
          </cell>
        </row>
        <row r="413">
          <cell r="B413" t="str">
            <v>42429EUR3</v>
          </cell>
          <cell r="C413" t="str">
            <v>42429ESTONIA</v>
          </cell>
          <cell r="D413" t="str">
            <v>EUR3</v>
          </cell>
          <cell r="E413">
            <v>3.3352315657809752</v>
          </cell>
          <cell r="G413" t="str">
            <v>ESTONIA</v>
          </cell>
          <cell r="H413">
            <v>5</v>
          </cell>
        </row>
        <row r="414">
          <cell r="B414" t="str">
            <v>42429EUR4</v>
          </cell>
          <cell r="C414" t="str">
            <v>42429FINLAND</v>
          </cell>
          <cell r="D414" t="str">
            <v>EUR4</v>
          </cell>
          <cell r="E414">
            <v>3.3352315657809752</v>
          </cell>
          <cell r="G414" t="str">
            <v>FINLAND</v>
          </cell>
          <cell r="H414">
            <v>4</v>
          </cell>
        </row>
        <row r="415">
          <cell r="B415" t="str">
            <v>42429EUR5</v>
          </cell>
          <cell r="C415" t="str">
            <v>42429FRANCE</v>
          </cell>
          <cell r="D415" t="str">
            <v>EUR5</v>
          </cell>
          <cell r="E415">
            <v>3.3352315657809752</v>
          </cell>
          <cell r="G415" t="str">
            <v>FRANCE</v>
          </cell>
          <cell r="H415">
            <v>4</v>
          </cell>
        </row>
        <row r="416">
          <cell r="B416" t="str">
            <v>42429EUR6</v>
          </cell>
          <cell r="C416" t="str">
            <v>42429GERMANY</v>
          </cell>
          <cell r="D416" t="str">
            <v>EUR6</v>
          </cell>
          <cell r="E416">
            <v>3.3352315657809752</v>
          </cell>
          <cell r="G416" t="str">
            <v>GERMANY</v>
          </cell>
          <cell r="H416">
            <v>4.1604940996504878</v>
          </cell>
        </row>
        <row r="417">
          <cell r="B417" t="str">
            <v>42429EUR7</v>
          </cell>
          <cell r="C417" t="str">
            <v>42429GREECE</v>
          </cell>
          <cell r="D417" t="str">
            <v>EUR7</v>
          </cell>
          <cell r="E417">
            <v>3.3352315657809752</v>
          </cell>
          <cell r="G417" t="str">
            <v>GREECE</v>
          </cell>
          <cell r="H417">
            <v>10</v>
          </cell>
        </row>
        <row r="418">
          <cell r="B418" t="str">
            <v>42429EUR8</v>
          </cell>
          <cell r="C418" t="str">
            <v>42429IRELAND</v>
          </cell>
          <cell r="D418" t="str">
            <v>EUR8</v>
          </cell>
          <cell r="E418">
            <v>3.3352315657809752</v>
          </cell>
          <cell r="G418" t="str">
            <v>IRELAND</v>
          </cell>
          <cell r="H418">
            <v>4</v>
          </cell>
        </row>
        <row r="419">
          <cell r="B419" t="str">
            <v>42429EUR9</v>
          </cell>
          <cell r="C419" t="str">
            <v>42429ITALY</v>
          </cell>
          <cell r="D419" t="str">
            <v>EUR9</v>
          </cell>
          <cell r="E419">
            <v>3.3352315657809752</v>
          </cell>
          <cell r="G419" t="str">
            <v>ITALY</v>
          </cell>
          <cell r="H419">
            <v>4</v>
          </cell>
        </row>
        <row r="420">
          <cell r="B420" t="str">
            <v>42429EUR10</v>
          </cell>
          <cell r="C420" t="str">
            <v>42429LATVIA</v>
          </cell>
          <cell r="D420" t="str">
            <v>EUR10</v>
          </cell>
          <cell r="E420">
            <v>3.3352315657809752</v>
          </cell>
          <cell r="G420" t="str">
            <v>LATVIA</v>
          </cell>
          <cell r="H420">
            <v>5</v>
          </cell>
        </row>
        <row r="421">
          <cell r="B421" t="str">
            <v>42429EUR11</v>
          </cell>
          <cell r="C421" t="str">
            <v>42429LUXEMBOURG</v>
          </cell>
          <cell r="D421" t="str">
            <v>EUR11</v>
          </cell>
          <cell r="E421">
            <v>3.3352315657809752</v>
          </cell>
          <cell r="G421" t="str">
            <v>LUXEMBOURG</v>
          </cell>
          <cell r="H421">
            <v>5</v>
          </cell>
        </row>
        <row r="422">
          <cell r="B422" t="str">
            <v>42429EUR12</v>
          </cell>
          <cell r="C422" t="str">
            <v>42429MALTA</v>
          </cell>
          <cell r="D422" t="str">
            <v>EUR12</v>
          </cell>
          <cell r="E422">
            <v>3.3352315657809752</v>
          </cell>
          <cell r="G422" t="str">
            <v>MALTA</v>
          </cell>
          <cell r="H422">
            <v>5</v>
          </cell>
        </row>
        <row r="423">
          <cell r="B423" t="str">
            <v>42429EUR13</v>
          </cell>
          <cell r="C423" t="str">
            <v>42429MONTENEGRO</v>
          </cell>
          <cell r="D423" t="str">
            <v>EUR13</v>
          </cell>
          <cell r="E423">
            <v>3.3352315657809752</v>
          </cell>
          <cell r="G423" t="str">
            <v>MONTENEGRO</v>
          </cell>
          <cell r="H423">
            <v>5</v>
          </cell>
        </row>
        <row r="424">
          <cell r="B424" t="str">
            <v>42429EUR14</v>
          </cell>
          <cell r="C424" t="str">
            <v>42429NETHERLANDS</v>
          </cell>
          <cell r="D424" t="str">
            <v>EUR14</v>
          </cell>
          <cell r="E424">
            <v>3.3352315657809752</v>
          </cell>
          <cell r="G424" t="str">
            <v>NETHERLANDS</v>
          </cell>
          <cell r="H424">
            <v>4</v>
          </cell>
        </row>
        <row r="425">
          <cell r="B425" t="str">
            <v>42429EUR15</v>
          </cell>
          <cell r="C425" t="str">
            <v>42429PORTUGAL</v>
          </cell>
          <cell r="D425" t="str">
            <v>EUR15</v>
          </cell>
          <cell r="E425">
            <v>3.3352315657809752</v>
          </cell>
          <cell r="G425" t="str">
            <v>PORTUGAL</v>
          </cell>
          <cell r="H425">
            <v>4</v>
          </cell>
        </row>
        <row r="426">
          <cell r="B426" t="str">
            <v>42429EUR16</v>
          </cell>
          <cell r="C426" t="str">
            <v>42429SLOVAKIA</v>
          </cell>
          <cell r="D426" t="str">
            <v>EUR16</v>
          </cell>
          <cell r="E426">
            <v>3.3352315657809752</v>
          </cell>
          <cell r="G426" t="str">
            <v>SLOVAKIA</v>
          </cell>
          <cell r="H426">
            <v>5</v>
          </cell>
        </row>
        <row r="427">
          <cell r="B427" t="str">
            <v>42429EUR17</v>
          </cell>
          <cell r="C427" t="str">
            <v>42429SLOVENIA</v>
          </cell>
          <cell r="D427" t="str">
            <v>EUR17</v>
          </cell>
          <cell r="E427">
            <v>3.3352315657809752</v>
          </cell>
          <cell r="G427" t="str">
            <v>SLOVENIA</v>
          </cell>
          <cell r="H427">
            <v>5</v>
          </cell>
        </row>
        <row r="428">
          <cell r="B428" t="str">
            <v>42429EUR18</v>
          </cell>
          <cell r="C428" t="str">
            <v>42429SPAIN</v>
          </cell>
          <cell r="D428" t="str">
            <v>EUR18</v>
          </cell>
          <cell r="E428">
            <v>3.3352315657809752</v>
          </cell>
          <cell r="G428" t="str">
            <v>SPAIN</v>
          </cell>
          <cell r="H428">
            <v>4</v>
          </cell>
        </row>
        <row r="429">
          <cell r="B429" t="str">
            <v>42429Eastern European Institutions</v>
          </cell>
          <cell r="C429" t="str">
            <v>42429Eastern European Institutions</v>
          </cell>
          <cell r="D429" t="str">
            <v>Eastern European Institutions</v>
          </cell>
          <cell r="E429">
            <v>2.25</v>
          </cell>
          <cell r="G429" t="str">
            <v>Eastern European Institutions</v>
          </cell>
          <cell r="H429">
            <v>5</v>
          </cell>
        </row>
        <row r="430">
          <cell r="B430" t="str">
            <v>42460AED</v>
          </cell>
          <cell r="C430" t="str">
            <v>42460U. A. E.</v>
          </cell>
          <cell r="D430" t="str">
            <v>AED</v>
          </cell>
          <cell r="E430">
            <v>5.299649493533968</v>
          </cell>
          <cell r="F430">
            <v>1.5319166</v>
          </cell>
          <cell r="G430" t="str">
            <v>U. A. E.</v>
          </cell>
          <cell r="H430">
            <v>5</v>
          </cell>
        </row>
        <row r="431">
          <cell r="B431" t="str">
            <v>42460ARS</v>
          </cell>
          <cell r="C431" t="str">
            <v>42460ARGENTINA</v>
          </cell>
          <cell r="D431" t="str">
            <v>ARS</v>
          </cell>
          <cell r="E431">
            <v>25.118245172144984</v>
          </cell>
          <cell r="F431">
            <v>28.811394</v>
          </cell>
          <cell r="G431" t="str">
            <v>ARGENTINA</v>
          </cell>
          <cell r="H431">
            <v>5</v>
          </cell>
        </row>
        <row r="432">
          <cell r="B432" t="str">
            <v>42460AUD</v>
          </cell>
          <cell r="C432" t="str">
            <v>42460AUSTRALIA</v>
          </cell>
          <cell r="D432" t="str">
            <v>AUD</v>
          </cell>
          <cell r="E432">
            <v>4.611220469902281</v>
          </cell>
          <cell r="F432">
            <v>2.111774</v>
          </cell>
          <cell r="G432" t="str">
            <v>AUSTRALIA</v>
          </cell>
          <cell r="H432">
            <v>4.6374300560304293</v>
          </cell>
        </row>
        <row r="433">
          <cell r="B433" t="str">
            <v>42460BDT</v>
          </cell>
          <cell r="C433" t="str">
            <v>42460BANGLADESH</v>
          </cell>
          <cell r="D433" t="str">
            <v>BDT</v>
          </cell>
          <cell r="E433">
            <v>8.8206939891289515</v>
          </cell>
          <cell r="F433">
            <v>6.2</v>
          </cell>
          <cell r="G433" t="str">
            <v>BANGLADESH</v>
          </cell>
          <cell r="H433">
            <v>5</v>
          </cell>
        </row>
        <row r="434">
          <cell r="B434" t="str">
            <v>42460BRL</v>
          </cell>
          <cell r="C434" t="str">
            <v>42460BRAZIL</v>
          </cell>
          <cell r="D434" t="str">
            <v>BRL</v>
          </cell>
          <cell r="E434">
            <v>8.2780214549920608</v>
          </cell>
          <cell r="F434">
            <v>6.9064803000000001</v>
          </cell>
          <cell r="G434" t="str">
            <v>BRAZIL</v>
          </cell>
          <cell r="H434">
            <v>6</v>
          </cell>
        </row>
        <row r="435">
          <cell r="B435" t="str">
            <v>42460BWP</v>
          </cell>
          <cell r="C435" t="str">
            <v>42460BOTSWANA</v>
          </cell>
          <cell r="D435" t="str">
            <v>BWP</v>
          </cell>
          <cell r="E435">
            <v>6.5670893390217957</v>
          </cell>
          <cell r="F435">
            <v>4.3675000000000006</v>
          </cell>
          <cell r="G435" t="str">
            <v>BOTSWANA</v>
          </cell>
          <cell r="H435">
            <v>5</v>
          </cell>
        </row>
        <row r="436">
          <cell r="B436" t="str">
            <v>42460CAD</v>
          </cell>
          <cell r="C436" t="str">
            <v>42460CANADA</v>
          </cell>
          <cell r="D436" t="str">
            <v>CAD</v>
          </cell>
          <cell r="E436">
            <v>4.0912501559647687</v>
          </cell>
          <cell r="F436">
            <v>1.6951438999999999</v>
          </cell>
          <cell r="G436" t="str">
            <v>CANADA</v>
          </cell>
          <cell r="H436">
            <v>4</v>
          </cell>
        </row>
        <row r="437">
          <cell r="B437" t="str">
            <v>42460CHF</v>
          </cell>
          <cell r="C437" t="str">
            <v>42460SWITZERLAND</v>
          </cell>
          <cell r="D437" t="str">
            <v>CHF</v>
          </cell>
          <cell r="E437">
            <v>2.4217635718133215</v>
          </cell>
          <cell r="F437">
            <v>-0.41425000000000001</v>
          </cell>
          <cell r="G437" t="str">
            <v>SWITZERLAND</v>
          </cell>
          <cell r="H437">
            <v>4</v>
          </cell>
        </row>
        <row r="438">
          <cell r="B438" t="str">
            <v>42460CLP</v>
          </cell>
          <cell r="C438" t="str">
            <v>42460CHILE</v>
          </cell>
          <cell r="D438" t="str">
            <v>CLP</v>
          </cell>
          <cell r="E438">
            <v>5.6565771708428505</v>
          </cell>
          <cell r="F438">
            <v>3.4315636</v>
          </cell>
          <cell r="G438" t="str">
            <v>CHILE</v>
          </cell>
          <cell r="H438">
            <v>5</v>
          </cell>
        </row>
        <row r="439">
          <cell r="B439" t="str">
            <v>42460CNY</v>
          </cell>
          <cell r="C439" t="str">
            <v>42460CHINA</v>
          </cell>
          <cell r="D439" t="str">
            <v>CNY</v>
          </cell>
          <cell r="E439">
            <v>4.4486505259327105</v>
          </cell>
          <cell r="F439">
            <v>1.5768930000000001</v>
          </cell>
          <cell r="G439" t="str">
            <v>CHINA</v>
          </cell>
          <cell r="H439">
            <v>5</v>
          </cell>
        </row>
        <row r="440">
          <cell r="B440" t="str">
            <v>42460COP</v>
          </cell>
          <cell r="C440" t="str">
            <v>42460COLOMBIA</v>
          </cell>
          <cell r="D440" t="str">
            <v>COP</v>
          </cell>
          <cell r="E440">
            <v>5.6625849671774899</v>
          </cell>
          <cell r="F440">
            <v>4.7020119999999999</v>
          </cell>
          <cell r="G440" t="str">
            <v>COLOMBIA</v>
          </cell>
          <cell r="H440">
            <v>5</v>
          </cell>
        </row>
        <row r="441">
          <cell r="B441" t="str">
            <v>42460CZK</v>
          </cell>
          <cell r="C441" t="str">
            <v>42460CZECH REPUBLIC</v>
          </cell>
          <cell r="D441" t="str">
            <v>CZK</v>
          </cell>
          <cell r="E441">
            <v>3.817219939843234</v>
          </cell>
          <cell r="F441">
            <v>1.1577326999999999</v>
          </cell>
          <cell r="G441" t="str">
            <v>CZECH REPUBLIC</v>
          </cell>
          <cell r="H441">
            <v>5</v>
          </cell>
        </row>
        <row r="442">
          <cell r="B442" t="str">
            <v>42460DKK</v>
          </cell>
          <cell r="C442" t="str">
            <v>42460DENMARK</v>
          </cell>
          <cell r="D442" t="str">
            <v>DKK</v>
          </cell>
          <cell r="E442">
            <v>3.9083065897722626</v>
          </cell>
          <cell r="F442">
            <v>1.1024841000000001</v>
          </cell>
          <cell r="G442" t="str">
            <v>DENMARK</v>
          </cell>
          <cell r="H442">
            <v>4</v>
          </cell>
        </row>
        <row r="443">
          <cell r="B443" t="str">
            <v>42460EGP</v>
          </cell>
          <cell r="C443" t="str">
            <v>42460EGYPT</v>
          </cell>
          <cell r="D443" t="str">
            <v>EGP</v>
          </cell>
          <cell r="E443">
            <v>11.585875407778161</v>
          </cell>
          <cell r="F443">
            <v>9.8191790000000001</v>
          </cell>
          <cell r="G443" t="str">
            <v>EGYPT</v>
          </cell>
          <cell r="H443">
            <v>5</v>
          </cell>
        </row>
        <row r="444">
          <cell r="B444" t="str">
            <v>42460EUR</v>
          </cell>
          <cell r="C444" t="str">
            <v>42460AUSTRIA</v>
          </cell>
          <cell r="D444" t="str">
            <v>EUR</v>
          </cell>
          <cell r="E444">
            <v>3.3352315657809752</v>
          </cell>
          <cell r="F444">
            <v>0.55739424999999998</v>
          </cell>
          <cell r="G444" t="str">
            <v>AUSTRIA</v>
          </cell>
          <cell r="H444">
            <v>4</v>
          </cell>
        </row>
        <row r="445">
          <cell r="B445" t="str">
            <v>42460GBP</v>
          </cell>
          <cell r="C445" t="str">
            <v>42460UNITED KINGDOM</v>
          </cell>
          <cell r="D445" t="str">
            <v>GBP</v>
          </cell>
          <cell r="E445">
            <v>3.7602072721388859</v>
          </cell>
          <cell r="F445">
            <v>0.98251104</v>
          </cell>
          <cell r="G445" t="str">
            <v>UNITED KINGDOM</v>
          </cell>
          <cell r="H445">
            <v>4</v>
          </cell>
        </row>
        <row r="446">
          <cell r="B446" t="str">
            <v>42460HKD</v>
          </cell>
          <cell r="C446" t="str">
            <v>42460HONG KONG</v>
          </cell>
          <cell r="D446" t="str">
            <v>HKD</v>
          </cell>
          <cell r="E446">
            <v>5.3698565407867473</v>
          </cell>
          <cell r="F446">
            <v>1.5319166</v>
          </cell>
          <cell r="G446" t="str">
            <v>HONG KONG</v>
          </cell>
          <cell r="H446">
            <v>3.5787939851459631</v>
          </cell>
        </row>
        <row r="447">
          <cell r="B447" t="str">
            <v>42460HRK</v>
          </cell>
          <cell r="C447" t="str">
            <v>42460CROATIA</v>
          </cell>
          <cell r="D447" t="str">
            <v>HRK</v>
          </cell>
          <cell r="E447">
            <v>3.5028189293599112</v>
          </cell>
          <cell r="F447">
            <v>1.20675</v>
          </cell>
          <cell r="G447" t="str">
            <v>CROATIA</v>
          </cell>
          <cell r="H447">
            <v>5</v>
          </cell>
        </row>
        <row r="448">
          <cell r="B448" t="str">
            <v>42460HUF</v>
          </cell>
          <cell r="C448" t="str">
            <v>42460HUNGARY</v>
          </cell>
          <cell r="D448" t="str">
            <v>HUF</v>
          </cell>
          <cell r="E448">
            <v>4.550240991131286</v>
          </cell>
          <cell r="F448">
            <v>1.2542753</v>
          </cell>
          <cell r="G448" t="str">
            <v>HUNGARY</v>
          </cell>
          <cell r="H448">
            <v>5</v>
          </cell>
        </row>
        <row r="449">
          <cell r="B449" t="str">
            <v>42460IDR</v>
          </cell>
          <cell r="C449" t="str">
            <v>42460INDONESIA</v>
          </cell>
          <cell r="D449" t="str">
            <v>IDR</v>
          </cell>
          <cell r="E449">
            <v>7.3853914869320505</v>
          </cell>
          <cell r="F449">
            <v>4.4737697000000001</v>
          </cell>
          <cell r="G449" t="str">
            <v>INDONESIA</v>
          </cell>
          <cell r="H449">
            <v>5</v>
          </cell>
        </row>
        <row r="450">
          <cell r="B450" t="str">
            <v>42460ILS</v>
          </cell>
          <cell r="C450" t="str">
            <v>42460ISRAEL</v>
          </cell>
          <cell r="D450" t="str">
            <v>ILS</v>
          </cell>
          <cell r="E450">
            <v>3.8364586503774758</v>
          </cell>
          <cell r="F450">
            <v>0.81110274999999998</v>
          </cell>
          <cell r="G450" t="str">
            <v>ISRAEL</v>
          </cell>
          <cell r="H450">
            <v>4</v>
          </cell>
        </row>
        <row r="451">
          <cell r="B451" t="str">
            <v>42460INR</v>
          </cell>
          <cell r="C451" t="str">
            <v>42460INDIA</v>
          </cell>
          <cell r="D451" t="str">
            <v>INR</v>
          </cell>
          <cell r="E451">
            <v>7.5053317444017811</v>
          </cell>
          <cell r="F451">
            <v>5.2564349999999997</v>
          </cell>
          <cell r="G451" t="str">
            <v>INDIA</v>
          </cell>
          <cell r="H451">
            <v>5</v>
          </cell>
        </row>
        <row r="452">
          <cell r="B452" t="str">
            <v>42460IQD</v>
          </cell>
          <cell r="C452" t="str">
            <v>42460IRAQ</v>
          </cell>
          <cell r="D452" t="str">
            <v>IQD</v>
          </cell>
          <cell r="E452">
            <v>5.0242122627077093</v>
          </cell>
          <cell r="F452">
            <v>3</v>
          </cell>
          <cell r="G452" t="str">
            <v>IRAQ</v>
          </cell>
          <cell r="H452">
            <v>5</v>
          </cell>
        </row>
        <row r="453">
          <cell r="B453" t="str">
            <v>42460JPY</v>
          </cell>
          <cell r="C453" t="str">
            <v>42460JAPAN</v>
          </cell>
          <cell r="D453" t="str">
            <v>JPY</v>
          </cell>
          <cell r="E453">
            <v>3.2542629597647235</v>
          </cell>
          <cell r="F453">
            <v>0.44045040000000002</v>
          </cell>
          <cell r="G453" t="str">
            <v>JAPAN</v>
          </cell>
          <cell r="H453">
            <v>4</v>
          </cell>
        </row>
        <row r="454">
          <cell r="B454" t="str">
            <v>42460KES</v>
          </cell>
          <cell r="C454" t="str">
            <v>42460KENYA</v>
          </cell>
          <cell r="D454" t="str">
            <v>KES</v>
          </cell>
          <cell r="E454">
            <v>7.7105698935640046</v>
          </cell>
          <cell r="F454">
            <v>5.6937499999999996</v>
          </cell>
          <cell r="G454" t="str">
            <v>KENYA</v>
          </cell>
          <cell r="H454">
            <v>5</v>
          </cell>
        </row>
        <row r="455">
          <cell r="B455" t="str">
            <v>42460KHR</v>
          </cell>
          <cell r="C455" t="str">
            <v>42460CAMBODIA</v>
          </cell>
          <cell r="D455" t="str">
            <v>KHR</v>
          </cell>
          <cell r="E455">
            <v>4.5975692462509024</v>
          </cell>
          <cell r="F455">
            <v>2.0815000000000001</v>
          </cell>
          <cell r="G455" t="str">
            <v>CAMBODIA</v>
          </cell>
          <cell r="H455">
            <v>5</v>
          </cell>
        </row>
        <row r="456">
          <cell r="B456" t="str">
            <v>42460KRW</v>
          </cell>
          <cell r="C456" t="str">
            <v>42460KOREA SOUTH(REPUBLIC OF KOREA)</v>
          </cell>
          <cell r="D456" t="str">
            <v>KRW</v>
          </cell>
          <cell r="E456">
            <v>4.5454409262545772</v>
          </cell>
          <cell r="F456">
            <v>1.384889</v>
          </cell>
          <cell r="G456" t="str">
            <v>KOREA SOUTH(REPUBLIC OF KOREA)</v>
          </cell>
          <cell r="H456">
            <v>5</v>
          </cell>
        </row>
        <row r="457">
          <cell r="B457" t="str">
            <v>42460KWD</v>
          </cell>
          <cell r="C457" t="str">
            <v>42460KUWAIT</v>
          </cell>
          <cell r="D457" t="str">
            <v>KWD</v>
          </cell>
          <cell r="E457">
            <v>5.669953575332535</v>
          </cell>
          <cell r="F457">
            <v>3.3499999999999996</v>
          </cell>
          <cell r="G457" t="str">
            <v>KUWAIT</v>
          </cell>
          <cell r="H457">
            <v>5</v>
          </cell>
        </row>
        <row r="458">
          <cell r="B458" t="str">
            <v>42460LKR</v>
          </cell>
          <cell r="C458" t="str">
            <v>42460SRI LANKA</v>
          </cell>
          <cell r="D458" t="str">
            <v>LKR</v>
          </cell>
          <cell r="E458">
            <v>6.1325860123118838</v>
          </cell>
          <cell r="F458">
            <v>3.9750000000000001</v>
          </cell>
          <cell r="G458" t="str">
            <v>SRI LANKA</v>
          </cell>
          <cell r="H458">
            <v>5</v>
          </cell>
        </row>
        <row r="459">
          <cell r="B459" t="str">
            <v>42460KZT</v>
          </cell>
          <cell r="C459" t="str">
            <v>42460KAZAKHSTAN</v>
          </cell>
          <cell r="D459" t="str">
            <v>KZT</v>
          </cell>
          <cell r="E459">
            <v>9.3990001723787842</v>
          </cell>
          <cell r="F459">
            <v>8.3000000000000007</v>
          </cell>
          <cell r="G459" t="str">
            <v>KAZAKHSTAN</v>
          </cell>
          <cell r="H459">
            <v>5</v>
          </cell>
        </row>
        <row r="460">
          <cell r="B460" t="str">
            <v>42460MAD</v>
          </cell>
          <cell r="C460" t="str">
            <v>42460MOROCCO</v>
          </cell>
          <cell r="D460" t="str">
            <v>MAD</v>
          </cell>
          <cell r="E460">
            <v>4.1498033428810901</v>
          </cell>
          <cell r="F460">
            <v>2</v>
          </cell>
          <cell r="G460" t="str">
            <v>MOROCCO</v>
          </cell>
          <cell r="H460">
            <v>5</v>
          </cell>
        </row>
        <row r="461">
          <cell r="B461" t="str">
            <v>42460MXN</v>
          </cell>
          <cell r="C461" t="str">
            <v>42460MEXICO</v>
          </cell>
          <cell r="D461" t="str">
            <v>MXN</v>
          </cell>
          <cell r="E461">
            <v>5.2083704891747997</v>
          </cell>
          <cell r="F461">
            <v>3.408585</v>
          </cell>
          <cell r="G461" t="str">
            <v>MEXICO</v>
          </cell>
          <cell r="H461">
            <v>5</v>
          </cell>
        </row>
        <row r="462">
          <cell r="B462" t="str">
            <v>42460MYR</v>
          </cell>
          <cell r="C462" t="str">
            <v>42460MALAYSIA</v>
          </cell>
          <cell r="D462" t="str">
            <v>MYR</v>
          </cell>
          <cell r="E462">
            <v>5.289038357842605</v>
          </cell>
          <cell r="F462">
            <v>2.6827041999999999</v>
          </cell>
          <cell r="G462" t="str">
            <v>MALAYSIA</v>
          </cell>
          <cell r="H462">
            <v>5</v>
          </cell>
        </row>
        <row r="463">
          <cell r="B463" t="str">
            <v>42460NGN</v>
          </cell>
          <cell r="C463" t="str">
            <v>42460NIGERIA</v>
          </cell>
          <cell r="D463" t="str">
            <v>NGN</v>
          </cell>
          <cell r="E463">
            <v>10.77140503526706</v>
          </cell>
          <cell r="F463">
            <v>9.9187329999999996</v>
          </cell>
          <cell r="G463" t="str">
            <v>NIGERIA</v>
          </cell>
          <cell r="H463">
            <v>7</v>
          </cell>
        </row>
        <row r="464">
          <cell r="B464" t="str">
            <v>42460NOK</v>
          </cell>
          <cell r="C464" t="str">
            <v>42460NORWAY</v>
          </cell>
          <cell r="D464" t="str">
            <v>NOK</v>
          </cell>
          <cell r="E464">
            <v>4.5999267458624518</v>
          </cell>
          <cell r="F464">
            <v>2.3870988</v>
          </cell>
          <cell r="G464" t="str">
            <v>NORWAY</v>
          </cell>
          <cell r="H464">
            <v>4</v>
          </cell>
        </row>
        <row r="465">
          <cell r="B465" t="str">
            <v>42460NZD</v>
          </cell>
          <cell r="C465" t="str">
            <v>42460NEW ZEALAND</v>
          </cell>
          <cell r="D465" t="str">
            <v>NZD</v>
          </cell>
          <cell r="E465">
            <v>3.7956002733151841</v>
          </cell>
          <cell r="F465">
            <v>1.0868873999999999</v>
          </cell>
          <cell r="G465" t="str">
            <v>NEW ZEALAND</v>
          </cell>
          <cell r="H465">
            <v>5.4530502526175262</v>
          </cell>
        </row>
        <row r="466">
          <cell r="B466" t="str">
            <v>42460OMR</v>
          </cell>
          <cell r="C466" t="str">
            <v>42460OMAN</v>
          </cell>
          <cell r="D466" t="str">
            <v>OMR</v>
          </cell>
          <cell r="E466">
            <v>4.4482255110273519</v>
          </cell>
          <cell r="F466">
            <v>1.5319166</v>
          </cell>
          <cell r="G466" t="str">
            <v>OMAN</v>
          </cell>
          <cell r="H466">
            <v>5</v>
          </cell>
        </row>
        <row r="467">
          <cell r="B467" t="str">
            <v>42460PEN</v>
          </cell>
          <cell r="C467" t="str">
            <v>42460PERU</v>
          </cell>
          <cell r="D467" t="str">
            <v>PEN</v>
          </cell>
          <cell r="E467">
            <v>4.6692131877545764</v>
          </cell>
          <cell r="F467">
            <v>3.2528636</v>
          </cell>
          <cell r="G467" t="str">
            <v>PERU</v>
          </cell>
          <cell r="H467">
            <v>5</v>
          </cell>
        </row>
        <row r="468">
          <cell r="B468" t="str">
            <v>42460PHP</v>
          </cell>
          <cell r="C468" t="str">
            <v>42460PHILIPPINES</v>
          </cell>
          <cell r="D468" t="str">
            <v>PHP</v>
          </cell>
          <cell r="E468">
            <v>5.3904633216530087</v>
          </cell>
          <cell r="F468">
            <v>2.4287367</v>
          </cell>
          <cell r="G468" t="str">
            <v>PHILIPPINES</v>
          </cell>
          <cell r="H468">
            <v>5</v>
          </cell>
        </row>
        <row r="469">
          <cell r="B469" t="str">
            <v>42460PKR</v>
          </cell>
          <cell r="C469" t="str">
            <v>42460PAKISTAN</v>
          </cell>
          <cell r="D469" t="str">
            <v>PKR</v>
          </cell>
          <cell r="E469">
            <v>7.1962804265149263</v>
          </cell>
          <cell r="F469">
            <v>4.3999996000000001</v>
          </cell>
          <cell r="G469" t="str">
            <v>PAKISTAN</v>
          </cell>
          <cell r="H469">
            <v>5</v>
          </cell>
        </row>
        <row r="470">
          <cell r="B470" t="str">
            <v>42460PLN</v>
          </cell>
          <cell r="C470" t="str">
            <v>42460POLAND</v>
          </cell>
          <cell r="D470" t="str">
            <v>PLN</v>
          </cell>
          <cell r="E470">
            <v>3.6358132610942375</v>
          </cell>
          <cell r="F470">
            <v>0.5523863</v>
          </cell>
          <cell r="G470" t="str">
            <v>POLAND</v>
          </cell>
          <cell r="H470">
            <v>5</v>
          </cell>
        </row>
        <row r="471">
          <cell r="B471" t="str">
            <v>42460QAR</v>
          </cell>
          <cell r="C471" t="str">
            <v>42460QATAR</v>
          </cell>
          <cell r="D471" t="str">
            <v>QAR</v>
          </cell>
          <cell r="E471">
            <v>4.6723623927241977</v>
          </cell>
          <cell r="F471">
            <v>1.5319166</v>
          </cell>
          <cell r="G471" t="str">
            <v>QATAR</v>
          </cell>
          <cell r="H471">
            <v>5</v>
          </cell>
        </row>
        <row r="472">
          <cell r="B472" t="str">
            <v>42460RON</v>
          </cell>
          <cell r="C472" t="str">
            <v>42460ROMANIA</v>
          </cell>
          <cell r="D472" t="str">
            <v>RON</v>
          </cell>
          <cell r="E472">
            <v>3.6204488094398837</v>
          </cell>
          <cell r="F472">
            <v>0.38385332</v>
          </cell>
          <cell r="G472" t="str">
            <v>ROMANIA</v>
          </cell>
          <cell r="H472">
            <v>5</v>
          </cell>
        </row>
        <row r="473">
          <cell r="B473" t="str">
            <v>42460RUB</v>
          </cell>
          <cell r="C473" t="str">
            <v>42460RUSSIAN FEDERATION</v>
          </cell>
          <cell r="D473" t="str">
            <v>RUB</v>
          </cell>
          <cell r="E473">
            <v>10.306426910337745</v>
          </cell>
          <cell r="F473">
            <v>7.5104895000000003</v>
          </cell>
          <cell r="G473" t="str">
            <v>RUSSIAN FEDERATION</v>
          </cell>
          <cell r="H473">
            <v>5</v>
          </cell>
        </row>
        <row r="474">
          <cell r="B474" t="str">
            <v>42460SAR</v>
          </cell>
          <cell r="C474" t="str">
            <v>42460SAUDI ARABIA</v>
          </cell>
          <cell r="D474" t="str">
            <v>SAR</v>
          </cell>
          <cell r="E474">
            <v>4.8683054536228267</v>
          </cell>
          <cell r="F474">
            <v>1.5319166</v>
          </cell>
          <cell r="G474" t="str">
            <v>SAUDI ARABIA</v>
          </cell>
          <cell r="H474">
            <v>5</v>
          </cell>
        </row>
        <row r="475">
          <cell r="B475" t="str">
            <v>42460SEK</v>
          </cell>
          <cell r="C475" t="str">
            <v>42460SWEDEN</v>
          </cell>
          <cell r="D475" t="str">
            <v>SEK</v>
          </cell>
          <cell r="E475">
            <v>3.6829027147684803</v>
          </cell>
          <cell r="F475">
            <v>1.0579911</v>
          </cell>
          <cell r="G475" t="str">
            <v>SWEDEN</v>
          </cell>
          <cell r="H475">
            <v>4</v>
          </cell>
        </row>
        <row r="476">
          <cell r="B476" t="str">
            <v>42460SGD</v>
          </cell>
          <cell r="C476" t="str">
            <v>42460SINGAPORE</v>
          </cell>
          <cell r="D476" t="str">
            <v>SGD</v>
          </cell>
          <cell r="E476">
            <v>3.7507255815726817</v>
          </cell>
          <cell r="F476">
            <v>0.23573338999999999</v>
          </cell>
          <cell r="G476" t="str">
            <v>SINGAPORE</v>
          </cell>
          <cell r="H476">
            <v>5</v>
          </cell>
        </row>
        <row r="477">
          <cell r="B477" t="str">
            <v>42460TZS</v>
          </cell>
          <cell r="C477" t="str">
            <v>42460TANZANIA, UNITED REPUBLIC OF</v>
          </cell>
          <cell r="D477" t="str">
            <v>TZS</v>
          </cell>
          <cell r="E477">
            <v>7.5904147285000203</v>
          </cell>
          <cell r="F477">
            <v>5.6767500000000002</v>
          </cell>
          <cell r="G477" t="str">
            <v>TANZANIA, UNITED REPUBLIC OF</v>
          </cell>
          <cell r="H477">
            <v>5</v>
          </cell>
        </row>
        <row r="478">
          <cell r="B478" t="str">
            <v>42460THB</v>
          </cell>
          <cell r="C478" t="str">
            <v>42460THAILAND</v>
          </cell>
          <cell r="D478" t="str">
            <v>THB</v>
          </cell>
          <cell r="E478">
            <v>3.6830237157572867</v>
          </cell>
          <cell r="F478">
            <v>0.95879170000000002</v>
          </cell>
          <cell r="G478" t="str">
            <v>THAILAND</v>
          </cell>
          <cell r="H478">
            <v>6.0677018658153949</v>
          </cell>
        </row>
        <row r="479">
          <cell r="B479" t="str">
            <v>42460TRY</v>
          </cell>
          <cell r="C479" t="str">
            <v>42460TURKEY</v>
          </cell>
          <cell r="D479" t="str">
            <v>TRY</v>
          </cell>
          <cell r="E479">
            <v>9.0323375381532269</v>
          </cell>
          <cell r="F479">
            <v>8.3484960000000008</v>
          </cell>
          <cell r="G479" t="str">
            <v>TURKEY</v>
          </cell>
          <cell r="H479">
            <v>5</v>
          </cell>
        </row>
        <row r="480">
          <cell r="B480" t="str">
            <v>42460TWD</v>
          </cell>
          <cell r="C480" t="str">
            <v>42460TAIWAN</v>
          </cell>
          <cell r="D480" t="str">
            <v>TWD</v>
          </cell>
          <cell r="E480">
            <v>3.3478746216391944</v>
          </cell>
          <cell r="F480">
            <v>0.87095860000000003</v>
          </cell>
          <cell r="G480" t="str">
            <v>TAIWAN</v>
          </cell>
          <cell r="H480">
            <v>5</v>
          </cell>
        </row>
        <row r="481">
          <cell r="B481" t="str">
            <v>42460UAH</v>
          </cell>
          <cell r="C481" t="str">
            <v>42460UKRAINE</v>
          </cell>
          <cell r="D481" t="str">
            <v>UAH</v>
          </cell>
          <cell r="E481">
            <v>18.394039059892677</v>
          </cell>
          <cell r="F481">
            <v>16.996024999999999</v>
          </cell>
          <cell r="G481" t="str">
            <v>UKRAINE</v>
          </cell>
          <cell r="H481">
            <v>5</v>
          </cell>
        </row>
        <row r="482">
          <cell r="B482" t="str">
            <v>42460USD</v>
          </cell>
          <cell r="C482" t="str">
            <v>42460UNITED STATES</v>
          </cell>
          <cell r="D482" t="str">
            <v>USD</v>
          </cell>
          <cell r="E482">
            <v>3.7543520469065319</v>
          </cell>
          <cell r="F482">
            <v>1.5319166</v>
          </cell>
          <cell r="G482" t="str">
            <v>UNITED STATES</v>
          </cell>
          <cell r="H482">
            <v>4</v>
          </cell>
        </row>
        <row r="483">
          <cell r="B483" t="str">
            <v>42460VND</v>
          </cell>
          <cell r="C483" t="str">
            <v>42460VIET NAM</v>
          </cell>
          <cell r="D483" t="str">
            <v>VND</v>
          </cell>
          <cell r="E483">
            <v>5.7766957234542762</v>
          </cell>
          <cell r="F483">
            <v>3.4</v>
          </cell>
          <cell r="G483" t="str">
            <v>VIET NAM</v>
          </cell>
          <cell r="H483">
            <v>7</v>
          </cell>
        </row>
        <row r="484">
          <cell r="B484" t="str">
            <v>42460ZAR</v>
          </cell>
          <cell r="C484" t="str">
            <v>42460SOUTH AFRICA</v>
          </cell>
          <cell r="D484" t="str">
            <v>ZAR</v>
          </cell>
          <cell r="E484">
            <v>7.7159820380363211</v>
          </cell>
          <cell r="F484">
            <v>6.246937</v>
          </cell>
          <cell r="G484" t="str">
            <v>SOUTH AFRICA</v>
          </cell>
          <cell r="H484">
            <v>5</v>
          </cell>
        </row>
        <row r="485">
          <cell r="B485" t="str">
            <v>42460EUR1</v>
          </cell>
          <cell r="C485" t="str">
            <v>42460BELGIUM</v>
          </cell>
          <cell r="D485" t="str">
            <v>EUR1</v>
          </cell>
          <cell r="E485">
            <v>3.3352315657809752</v>
          </cell>
          <cell r="G485" t="str">
            <v>BELGIUM</v>
          </cell>
          <cell r="H485">
            <v>4</v>
          </cell>
        </row>
        <row r="486">
          <cell r="B486" t="str">
            <v>42460EUR2</v>
          </cell>
          <cell r="C486" t="str">
            <v>42460CYPRUS</v>
          </cell>
          <cell r="D486" t="str">
            <v>EUR2</v>
          </cell>
          <cell r="E486">
            <v>3.3352315657809752</v>
          </cell>
          <cell r="G486" t="str">
            <v>CYPRUS</v>
          </cell>
          <cell r="H486">
            <v>5</v>
          </cell>
        </row>
        <row r="487">
          <cell r="B487" t="str">
            <v>42460EUR3</v>
          </cell>
          <cell r="C487" t="str">
            <v>42460ESTONIA</v>
          </cell>
          <cell r="D487" t="str">
            <v>EUR3</v>
          </cell>
          <cell r="E487">
            <v>3.3352315657809752</v>
          </cell>
          <cell r="G487" t="str">
            <v>ESTONIA</v>
          </cell>
          <cell r="H487">
            <v>5</v>
          </cell>
        </row>
        <row r="488">
          <cell r="B488" t="str">
            <v>42460EUR4</v>
          </cell>
          <cell r="C488" t="str">
            <v>42460FINLAND</v>
          </cell>
          <cell r="D488" t="str">
            <v>EUR4</v>
          </cell>
          <cell r="E488">
            <v>3.3352315657809752</v>
          </cell>
          <cell r="G488" t="str">
            <v>FINLAND</v>
          </cell>
          <cell r="H488">
            <v>4</v>
          </cell>
        </row>
        <row r="489">
          <cell r="B489" t="str">
            <v>42460EUR5</v>
          </cell>
          <cell r="C489" t="str">
            <v>42460FRANCE</v>
          </cell>
          <cell r="D489" t="str">
            <v>EUR5</v>
          </cell>
          <cell r="E489">
            <v>3.3352315657809752</v>
          </cell>
          <cell r="G489" t="str">
            <v>FRANCE</v>
          </cell>
          <cell r="H489">
            <v>4</v>
          </cell>
        </row>
        <row r="490">
          <cell r="B490" t="str">
            <v>42460EUR6</v>
          </cell>
          <cell r="C490" t="str">
            <v>42460GERMANY</v>
          </cell>
          <cell r="D490" t="str">
            <v>EUR6</v>
          </cell>
          <cell r="E490">
            <v>3.3352315657809752</v>
          </cell>
          <cell r="G490" t="str">
            <v>GERMANY</v>
          </cell>
          <cell r="H490">
            <v>4.1604940996504878</v>
          </cell>
        </row>
        <row r="491">
          <cell r="B491" t="str">
            <v>42460EUR7</v>
          </cell>
          <cell r="C491" t="str">
            <v>42460GREECE</v>
          </cell>
          <cell r="D491" t="str">
            <v>EUR7</v>
          </cell>
          <cell r="E491">
            <v>3.3352315657809752</v>
          </cell>
          <cell r="G491" t="str">
            <v>GREECE</v>
          </cell>
          <cell r="H491">
            <v>10</v>
          </cell>
        </row>
        <row r="492">
          <cell r="B492" t="str">
            <v>42460EUR8</v>
          </cell>
          <cell r="C492" t="str">
            <v>42460IRELAND</v>
          </cell>
          <cell r="D492" t="str">
            <v>EUR8</v>
          </cell>
          <cell r="E492">
            <v>3.3352315657809752</v>
          </cell>
          <cell r="G492" t="str">
            <v>IRELAND</v>
          </cell>
          <cell r="H492">
            <v>4</v>
          </cell>
        </row>
        <row r="493">
          <cell r="B493" t="str">
            <v>42460EUR9</v>
          </cell>
          <cell r="C493" t="str">
            <v>42460ITALY</v>
          </cell>
          <cell r="D493" t="str">
            <v>EUR9</v>
          </cell>
          <cell r="E493">
            <v>3.3352315657809752</v>
          </cell>
          <cell r="G493" t="str">
            <v>ITALY</v>
          </cell>
          <cell r="H493">
            <v>4</v>
          </cell>
        </row>
        <row r="494">
          <cell r="B494" t="str">
            <v>42460EUR10</v>
          </cell>
          <cell r="C494" t="str">
            <v>42460LATVIA</v>
          </cell>
          <cell r="D494" t="str">
            <v>EUR10</v>
          </cell>
          <cell r="E494">
            <v>3.3352315657809752</v>
          </cell>
          <cell r="G494" t="str">
            <v>LATVIA</v>
          </cell>
          <cell r="H494">
            <v>5</v>
          </cell>
        </row>
        <row r="495">
          <cell r="B495" t="str">
            <v>42460EUR11</v>
          </cell>
          <cell r="C495" t="str">
            <v>42460LUXEMBOURG</v>
          </cell>
          <cell r="D495" t="str">
            <v>EUR11</v>
          </cell>
          <cell r="E495">
            <v>3.3352315657809752</v>
          </cell>
          <cell r="G495" t="str">
            <v>LUXEMBOURG</v>
          </cell>
          <cell r="H495">
            <v>4</v>
          </cell>
        </row>
        <row r="496">
          <cell r="B496" t="str">
            <v>42460EUR12</v>
          </cell>
          <cell r="C496" t="str">
            <v>42460MALTA</v>
          </cell>
          <cell r="D496" t="str">
            <v>EUR12</v>
          </cell>
          <cell r="E496">
            <v>3.3352315657809752</v>
          </cell>
          <cell r="G496" t="str">
            <v>MALTA</v>
          </cell>
          <cell r="H496">
            <v>5</v>
          </cell>
        </row>
        <row r="497">
          <cell r="B497" t="str">
            <v>42460EUR13</v>
          </cell>
          <cell r="C497" t="str">
            <v>42460MONTENEGRO</v>
          </cell>
          <cell r="D497" t="str">
            <v>EUR13</v>
          </cell>
          <cell r="E497">
            <v>3.3352315657809752</v>
          </cell>
          <cell r="G497" t="str">
            <v>MONTENEGRO</v>
          </cell>
          <cell r="H497">
            <v>5</v>
          </cell>
        </row>
        <row r="498">
          <cell r="B498" t="str">
            <v>42460EUR14</v>
          </cell>
          <cell r="C498" t="str">
            <v>42460NETHERLANDS</v>
          </cell>
          <cell r="D498" t="str">
            <v>EUR14</v>
          </cell>
          <cell r="E498">
            <v>3.3352315657809752</v>
          </cell>
          <cell r="G498" t="str">
            <v>NETHERLANDS</v>
          </cell>
          <cell r="H498">
            <v>4</v>
          </cell>
        </row>
        <row r="499">
          <cell r="B499" t="str">
            <v>42460EUR15</v>
          </cell>
          <cell r="C499" t="str">
            <v>42460PORTUGAL</v>
          </cell>
          <cell r="D499" t="str">
            <v>EUR15</v>
          </cell>
          <cell r="E499">
            <v>3.3352315657809752</v>
          </cell>
          <cell r="G499" t="str">
            <v>PORTUGAL</v>
          </cell>
          <cell r="H499">
            <v>4</v>
          </cell>
        </row>
        <row r="500">
          <cell r="B500" t="str">
            <v>42460EUR16</v>
          </cell>
          <cell r="C500" t="str">
            <v>42460SLOVAKIA</v>
          </cell>
          <cell r="D500" t="str">
            <v>EUR16</v>
          </cell>
          <cell r="E500">
            <v>3.3352315657809752</v>
          </cell>
          <cell r="G500" t="str">
            <v>SLOVAKIA</v>
          </cell>
          <cell r="H500">
            <v>5</v>
          </cell>
        </row>
        <row r="501">
          <cell r="B501" t="str">
            <v>42460EUR17</v>
          </cell>
          <cell r="C501" t="str">
            <v>42460SLOVENIA</v>
          </cell>
          <cell r="D501" t="str">
            <v>EUR17</v>
          </cell>
          <cell r="E501">
            <v>3.3352315657809752</v>
          </cell>
          <cell r="G501" t="str">
            <v>SLOVENIA</v>
          </cell>
          <cell r="H501">
            <v>5</v>
          </cell>
        </row>
        <row r="502">
          <cell r="B502" t="str">
            <v>42460EUR18</v>
          </cell>
          <cell r="C502" t="str">
            <v>42460SPAIN</v>
          </cell>
          <cell r="D502" t="str">
            <v>EUR18</v>
          </cell>
          <cell r="E502">
            <v>3.3352315657809752</v>
          </cell>
          <cell r="G502" t="str">
            <v>SPAIN</v>
          </cell>
          <cell r="H502">
            <v>4</v>
          </cell>
        </row>
        <row r="503">
          <cell r="B503" t="str">
            <v>42460Eastern European Institutions</v>
          </cell>
          <cell r="C503" t="str">
            <v>42460Eastern European Institutions</v>
          </cell>
          <cell r="D503" t="str">
            <v>Eastern European Institutions</v>
          </cell>
          <cell r="E503">
            <v>2.25</v>
          </cell>
          <cell r="G503" t="str">
            <v>Eastern European Institutions</v>
          </cell>
          <cell r="H503">
            <v>5</v>
          </cell>
        </row>
        <row r="504">
          <cell r="B504" t="str">
            <v>42490AED</v>
          </cell>
          <cell r="C504" t="str">
            <v>42490U. A. E.</v>
          </cell>
          <cell r="D504" t="str">
            <v>AED</v>
          </cell>
          <cell r="E504">
            <v>5.3453380422483523</v>
          </cell>
          <cell r="F504">
            <v>1.5884857999999999</v>
          </cell>
          <cell r="G504" t="str">
            <v>U. A. E.</v>
          </cell>
          <cell r="H504">
            <v>5</v>
          </cell>
        </row>
        <row r="505">
          <cell r="B505" t="str">
            <v>42490ARS</v>
          </cell>
          <cell r="C505" t="str">
            <v>42490ARGENTINA</v>
          </cell>
          <cell r="D505" t="str">
            <v>ARS</v>
          </cell>
          <cell r="E505">
            <v>19.107526406875035</v>
          </cell>
          <cell r="F505">
            <v>28.883734</v>
          </cell>
          <cell r="G505" t="str">
            <v>ARGENTINA</v>
          </cell>
          <cell r="H505">
            <v>5</v>
          </cell>
        </row>
        <row r="506">
          <cell r="B506" t="str">
            <v>42490AUD</v>
          </cell>
          <cell r="C506" t="str">
            <v>42490AUSTRALIA</v>
          </cell>
          <cell r="D506" t="str">
            <v>AUD</v>
          </cell>
          <cell r="E506">
            <v>4.6412929023544471</v>
          </cell>
          <cell r="F506">
            <v>2.1263063</v>
          </cell>
          <cell r="G506" t="str">
            <v>AUSTRALIA</v>
          </cell>
          <cell r="H506">
            <v>4.7278011559491251</v>
          </cell>
        </row>
        <row r="507">
          <cell r="B507" t="str">
            <v>42490BDT</v>
          </cell>
          <cell r="C507" t="str">
            <v>42490BANGLADESH</v>
          </cell>
          <cell r="D507" t="str">
            <v>BDT</v>
          </cell>
          <cell r="E507">
            <v>8.7282761424205138</v>
          </cell>
          <cell r="F507">
            <v>6.0666665999999996</v>
          </cell>
          <cell r="G507" t="str">
            <v>BANGLADESH</v>
          </cell>
          <cell r="H507">
            <v>5</v>
          </cell>
        </row>
        <row r="508">
          <cell r="B508" t="str">
            <v>42490BRL</v>
          </cell>
          <cell r="C508" t="str">
            <v>42490BRAZIL</v>
          </cell>
          <cell r="D508" t="str">
            <v>BRL</v>
          </cell>
          <cell r="E508">
            <v>8.3315082513534957</v>
          </cell>
          <cell r="F508">
            <v>6.6065969999999998</v>
          </cell>
          <cell r="G508" t="str">
            <v>BRAZIL</v>
          </cell>
          <cell r="H508">
            <v>6</v>
          </cell>
        </row>
        <row r="509">
          <cell r="B509" t="str">
            <v>42490BWP</v>
          </cell>
          <cell r="C509" t="str">
            <v>42490BOTSWANA</v>
          </cell>
          <cell r="D509" t="str">
            <v>BWP</v>
          </cell>
          <cell r="E509">
            <v>6.1094488488926215</v>
          </cell>
          <cell r="F509">
            <v>3.4333333333333336</v>
          </cell>
          <cell r="G509" t="str">
            <v>BOTSWANA</v>
          </cell>
          <cell r="H509">
            <v>5</v>
          </cell>
        </row>
        <row r="510">
          <cell r="B510" t="str">
            <v>42490CAD</v>
          </cell>
          <cell r="C510" t="str">
            <v>42490CANADA</v>
          </cell>
          <cell r="D510" t="str">
            <v>CAD</v>
          </cell>
          <cell r="E510">
            <v>4.0966815822429039</v>
          </cell>
          <cell r="F510">
            <v>1.6917553000000001</v>
          </cell>
          <cell r="G510" t="str">
            <v>CANADA</v>
          </cell>
          <cell r="H510">
            <v>4</v>
          </cell>
        </row>
        <row r="511">
          <cell r="B511" t="str">
            <v>42490CHF</v>
          </cell>
          <cell r="C511" t="str">
            <v>42490SWITZERLAND</v>
          </cell>
          <cell r="D511" t="str">
            <v>CHF</v>
          </cell>
          <cell r="E511">
            <v>2.6195261958107432</v>
          </cell>
          <cell r="F511">
            <v>-0.33549625</v>
          </cell>
          <cell r="G511" t="str">
            <v>SWITZERLAND</v>
          </cell>
          <cell r="H511">
            <v>4</v>
          </cell>
        </row>
        <row r="512">
          <cell r="B512" t="str">
            <v>42490CLP</v>
          </cell>
          <cell r="C512" t="str">
            <v>42490CHILE</v>
          </cell>
          <cell r="D512" t="str">
            <v>CLP</v>
          </cell>
          <cell r="E512">
            <v>5.4691179143838733</v>
          </cell>
          <cell r="F512">
            <v>3.3715706000000001</v>
          </cell>
          <cell r="G512" t="str">
            <v>CHILE</v>
          </cell>
          <cell r="H512">
            <v>5</v>
          </cell>
        </row>
        <row r="513">
          <cell r="B513" t="str">
            <v>42490CNY</v>
          </cell>
          <cell r="C513" t="str">
            <v>42490CHINA</v>
          </cell>
          <cell r="D513" t="str">
            <v>CNY</v>
          </cell>
          <cell r="E513">
            <v>4.5690940583035724</v>
          </cell>
          <cell r="F513">
            <v>1.8626248999999999</v>
          </cell>
          <cell r="G513" t="str">
            <v>CHINA</v>
          </cell>
          <cell r="H513">
            <v>5</v>
          </cell>
        </row>
        <row r="514">
          <cell r="B514" t="str">
            <v>42490COP</v>
          </cell>
          <cell r="C514" t="str">
            <v>42490COLOMBIA</v>
          </cell>
          <cell r="D514" t="str">
            <v>COP</v>
          </cell>
          <cell r="E514">
            <v>6.1921648305771662</v>
          </cell>
          <cell r="F514">
            <v>4.8351025999999999</v>
          </cell>
          <cell r="G514" t="str">
            <v>COLOMBIA</v>
          </cell>
          <cell r="H514">
            <v>5</v>
          </cell>
        </row>
        <row r="515">
          <cell r="B515" t="str">
            <v>42490CZK</v>
          </cell>
          <cell r="C515" t="str">
            <v>42490CZECH REPUBLIC</v>
          </cell>
          <cell r="D515" t="str">
            <v>CZK</v>
          </cell>
          <cell r="E515">
            <v>4.0937457684019609</v>
          </cell>
          <cell r="F515">
            <v>1.085726</v>
          </cell>
          <cell r="G515" t="str">
            <v>CZECH REPUBLIC</v>
          </cell>
          <cell r="H515">
            <v>5</v>
          </cell>
        </row>
        <row r="516">
          <cell r="B516" t="str">
            <v>42490DKK</v>
          </cell>
          <cell r="C516" t="str">
            <v>42490DENMARK</v>
          </cell>
          <cell r="D516" t="str">
            <v>DKK</v>
          </cell>
          <cell r="E516">
            <v>3.8290055275646475</v>
          </cell>
          <cell r="F516">
            <v>1.1659775999999999</v>
          </cell>
          <cell r="G516" t="str">
            <v>DENMARK</v>
          </cell>
          <cell r="H516">
            <v>4</v>
          </cell>
        </row>
        <row r="517">
          <cell r="B517" t="str">
            <v>42490EGP</v>
          </cell>
          <cell r="C517" t="str">
            <v>42490EGYPT</v>
          </cell>
          <cell r="D517" t="str">
            <v>EGP</v>
          </cell>
          <cell r="E517">
            <v>10.752482653679188</v>
          </cell>
          <cell r="F517">
            <v>10.871286</v>
          </cell>
          <cell r="G517" t="str">
            <v>EGYPT</v>
          </cell>
          <cell r="H517">
            <v>6</v>
          </cell>
        </row>
        <row r="518">
          <cell r="B518" t="str">
            <v>42490EUR</v>
          </cell>
          <cell r="C518" t="str">
            <v>42490AUSTRIA</v>
          </cell>
          <cell r="D518" t="str">
            <v>EUR</v>
          </cell>
          <cell r="E518">
            <v>3.3352315657809752</v>
          </cell>
          <cell r="F518">
            <v>0.62520160000000002</v>
          </cell>
          <cell r="G518" t="str">
            <v>AUSTRIA</v>
          </cell>
          <cell r="H518">
            <v>4</v>
          </cell>
        </row>
        <row r="519">
          <cell r="B519" t="str">
            <v>42490GBP</v>
          </cell>
          <cell r="C519" t="str">
            <v>42490UNITED KINGDOM</v>
          </cell>
          <cell r="D519" t="str">
            <v>GBP</v>
          </cell>
          <cell r="E519">
            <v>3.9790644837374192</v>
          </cell>
          <cell r="F519">
            <v>1.007396</v>
          </cell>
          <cell r="G519" t="str">
            <v>UNITED KINGDOM</v>
          </cell>
          <cell r="H519">
            <v>4</v>
          </cell>
        </row>
        <row r="520">
          <cell r="B520" t="str">
            <v>42490GEL</v>
          </cell>
          <cell r="C520" t="str">
            <v>42490GEORGIA</v>
          </cell>
          <cell r="D520" t="str">
            <v>GEL</v>
          </cell>
          <cell r="E520">
            <v>5.910453326152191</v>
          </cell>
          <cell r="F520">
            <v>4.3826666666666672</v>
          </cell>
          <cell r="G520" t="str">
            <v>GEORGIA</v>
          </cell>
          <cell r="H520">
            <v>5</v>
          </cell>
        </row>
        <row r="521">
          <cell r="B521" t="str">
            <v>42490HKD</v>
          </cell>
          <cell r="C521" t="str">
            <v>42490HONG KONG</v>
          </cell>
          <cell r="D521" t="str">
            <v>HKD</v>
          </cell>
          <cell r="E521">
            <v>4.9499026289057593</v>
          </cell>
          <cell r="F521">
            <v>1.5884857999999999</v>
          </cell>
          <cell r="G521" t="str">
            <v>HONG KONG</v>
          </cell>
          <cell r="H521">
            <v>4.1191914293978131</v>
          </cell>
        </row>
        <row r="522">
          <cell r="B522" t="str">
            <v>42490HRK</v>
          </cell>
          <cell r="C522" t="str">
            <v>42490CROATIA</v>
          </cell>
          <cell r="D522" t="str">
            <v>HRK</v>
          </cell>
          <cell r="E522">
            <v>3.7135338084439065</v>
          </cell>
          <cell r="F522">
            <v>0.70866666666666667</v>
          </cell>
          <cell r="G522" t="str">
            <v>CROATIA</v>
          </cell>
          <cell r="H522">
            <v>5</v>
          </cell>
        </row>
        <row r="523">
          <cell r="B523" t="str">
            <v>42490HUF</v>
          </cell>
          <cell r="C523" t="str">
            <v>42490HUNGARY</v>
          </cell>
          <cell r="D523" t="str">
            <v>HUF</v>
          </cell>
          <cell r="E523">
            <v>4.5059285274373009</v>
          </cell>
          <cell r="F523">
            <v>1.1135526</v>
          </cell>
          <cell r="G523" t="str">
            <v>HUNGARY</v>
          </cell>
          <cell r="H523">
            <v>5</v>
          </cell>
        </row>
        <row r="524">
          <cell r="B524" t="str">
            <v>42490IDR</v>
          </cell>
          <cell r="C524" t="str">
            <v>42490INDONESIA</v>
          </cell>
          <cell r="D524" t="str">
            <v>IDR</v>
          </cell>
          <cell r="E524">
            <v>6.5665248781261489</v>
          </cell>
          <cell r="F524">
            <v>4.5449460000000004</v>
          </cell>
          <cell r="G524" t="str">
            <v>INDONESIA</v>
          </cell>
          <cell r="H524">
            <v>5</v>
          </cell>
        </row>
        <row r="525">
          <cell r="B525" t="str">
            <v>42490ILS</v>
          </cell>
          <cell r="C525" t="str">
            <v>42490ISRAEL</v>
          </cell>
          <cell r="D525" t="str">
            <v>ILS</v>
          </cell>
          <cell r="E525">
            <v>3.5188753800549346</v>
          </cell>
          <cell r="F525">
            <v>0.95370290000000002</v>
          </cell>
          <cell r="G525" t="str">
            <v>ISRAEL</v>
          </cell>
          <cell r="H525">
            <v>4</v>
          </cell>
        </row>
        <row r="526">
          <cell r="B526" t="str">
            <v>42490INR</v>
          </cell>
          <cell r="C526" t="str">
            <v>42490INDIA</v>
          </cell>
          <cell r="D526" t="str">
            <v>INR</v>
          </cell>
          <cell r="E526">
            <v>7.5524751613458765</v>
          </cell>
          <cell r="F526">
            <v>5.2151766000000004</v>
          </cell>
          <cell r="G526" t="str">
            <v>INDIA</v>
          </cell>
          <cell r="H526">
            <v>5</v>
          </cell>
        </row>
        <row r="527">
          <cell r="B527" t="str">
            <v>42490IQD</v>
          </cell>
          <cell r="C527" t="str">
            <v>42490IRAQ</v>
          </cell>
          <cell r="D527" t="str">
            <v>IQD</v>
          </cell>
          <cell r="E527">
            <v>4.2500000000000018</v>
          </cell>
          <cell r="F527">
            <v>2</v>
          </cell>
          <cell r="G527" t="str">
            <v>IRAQ</v>
          </cell>
          <cell r="H527">
            <v>5</v>
          </cell>
        </row>
        <row r="528">
          <cell r="B528" t="str">
            <v>42490JPY</v>
          </cell>
          <cell r="C528" t="str">
            <v>42490JAPAN</v>
          </cell>
          <cell r="D528" t="str">
            <v>JPY</v>
          </cell>
          <cell r="E528">
            <v>3.0365726764600511</v>
          </cell>
          <cell r="F528">
            <v>0.52898025999999998</v>
          </cell>
          <cell r="G528" t="str">
            <v>JAPAN</v>
          </cell>
          <cell r="H528">
            <v>4</v>
          </cell>
        </row>
        <row r="529">
          <cell r="B529" t="str">
            <v>42490KES</v>
          </cell>
          <cell r="C529" t="str">
            <v>42490KENYA</v>
          </cell>
          <cell r="D529" t="str">
            <v>KES</v>
          </cell>
          <cell r="E529">
            <v>7.7087896811692405</v>
          </cell>
          <cell r="F529">
            <v>6.1653333333333329</v>
          </cell>
          <cell r="G529" t="str">
            <v>KENYA</v>
          </cell>
          <cell r="H529">
            <v>5</v>
          </cell>
        </row>
        <row r="530">
          <cell r="B530" t="str">
            <v>42490KHR</v>
          </cell>
          <cell r="C530" t="str">
            <v>42490CAMBODIA</v>
          </cell>
          <cell r="D530" t="str">
            <v>KHR</v>
          </cell>
          <cell r="E530">
            <v>5.0607390049122216</v>
          </cell>
          <cell r="F530">
            <v>2.3523333333333332</v>
          </cell>
          <cell r="G530" t="str">
            <v>CAMBODIA</v>
          </cell>
          <cell r="H530">
            <v>5</v>
          </cell>
        </row>
        <row r="531">
          <cell r="B531" t="str">
            <v>42490KRW</v>
          </cell>
          <cell r="C531" t="str">
            <v>42490KOREA SOUTH(REPUBLIC OF KOREA)</v>
          </cell>
          <cell r="D531" t="str">
            <v>KRW</v>
          </cell>
          <cell r="E531">
            <v>4.1596838783537295</v>
          </cell>
          <cell r="F531">
            <v>1.4289369999999999</v>
          </cell>
          <cell r="G531" t="str">
            <v>KOREA SOUTH(REPUBLIC OF KOREA)</v>
          </cell>
          <cell r="H531">
            <v>5</v>
          </cell>
        </row>
        <row r="532">
          <cell r="B532" t="str">
            <v>42490KWD</v>
          </cell>
          <cell r="C532" t="str">
            <v>42490KUWAIT</v>
          </cell>
          <cell r="D532" t="str">
            <v>KWD</v>
          </cell>
          <cell r="E532">
            <v>5.7499806763212904</v>
          </cell>
          <cell r="F532">
            <v>3.4333333333333331</v>
          </cell>
          <cell r="G532" t="str">
            <v>KUWAIT</v>
          </cell>
          <cell r="H532">
            <v>5</v>
          </cell>
        </row>
        <row r="533">
          <cell r="B533" t="str">
            <v>42490LKR</v>
          </cell>
          <cell r="C533" t="str">
            <v>42490SRI LANKA</v>
          </cell>
          <cell r="D533" t="str">
            <v>LKR</v>
          </cell>
          <cell r="E533">
            <v>6.8375902073245989</v>
          </cell>
          <cell r="F533">
            <v>4.0333332999999998</v>
          </cell>
          <cell r="G533" t="str">
            <v>SRI LANKA</v>
          </cell>
          <cell r="H533">
            <v>5</v>
          </cell>
        </row>
        <row r="534">
          <cell r="B534" t="str">
            <v>42490KZT</v>
          </cell>
          <cell r="C534" t="str">
            <v>42490KAZAKHSTAN</v>
          </cell>
          <cell r="D534" t="str">
            <v>KZT</v>
          </cell>
          <cell r="E534">
            <v>11.702472282512669</v>
          </cell>
          <cell r="F534">
            <v>11.809999999999999</v>
          </cell>
          <cell r="G534" t="str">
            <v>KAZAKHSTAN</v>
          </cell>
          <cell r="H534">
            <v>5</v>
          </cell>
        </row>
        <row r="535">
          <cell r="B535" t="str">
            <v>42490MAD</v>
          </cell>
          <cell r="C535" t="str">
            <v>42490MOROCCO</v>
          </cell>
          <cell r="D535" t="str">
            <v>MAD</v>
          </cell>
          <cell r="E535">
            <v>4.1498033428810901</v>
          </cell>
          <cell r="F535">
            <v>1.6666666666666665</v>
          </cell>
          <cell r="G535" t="str">
            <v>MOROCCO</v>
          </cell>
          <cell r="H535">
            <v>5</v>
          </cell>
        </row>
        <row r="536">
          <cell r="B536" t="str">
            <v>42490MXN</v>
          </cell>
          <cell r="C536" t="str">
            <v>42490MEXICO</v>
          </cell>
          <cell r="D536" t="str">
            <v>MXN</v>
          </cell>
          <cell r="E536">
            <v>5.2343901670048023</v>
          </cell>
          <cell r="F536">
            <v>3.3259788000000001</v>
          </cell>
          <cell r="G536" t="str">
            <v>MEXICO</v>
          </cell>
          <cell r="H536">
            <v>5</v>
          </cell>
        </row>
        <row r="537">
          <cell r="B537" t="str">
            <v>42490MYR</v>
          </cell>
          <cell r="C537" t="str">
            <v>42490MALAYSIA</v>
          </cell>
          <cell r="D537" t="str">
            <v>MYR</v>
          </cell>
          <cell r="E537">
            <v>5.2525698562266889</v>
          </cell>
          <cell r="F537">
            <v>2.6525264000000002</v>
          </cell>
          <cell r="G537" t="str">
            <v>MALAYSIA</v>
          </cell>
          <cell r="H537">
            <v>5</v>
          </cell>
        </row>
        <row r="538">
          <cell r="B538" t="str">
            <v>42490NGN</v>
          </cell>
          <cell r="C538" t="str">
            <v>42490NIGERIA</v>
          </cell>
          <cell r="D538" t="str">
            <v>NGN</v>
          </cell>
          <cell r="E538">
            <v>13.288855732504228</v>
          </cell>
          <cell r="F538">
            <v>10.282807</v>
          </cell>
          <cell r="G538" t="str">
            <v>NIGERIA</v>
          </cell>
          <cell r="H538">
            <v>7</v>
          </cell>
        </row>
        <row r="539">
          <cell r="B539" t="str">
            <v>42490NOK</v>
          </cell>
          <cell r="C539" t="str">
            <v>42490NORWAY</v>
          </cell>
          <cell r="D539" t="str">
            <v>NOK</v>
          </cell>
          <cell r="E539">
            <v>4.8099298792005287</v>
          </cell>
          <cell r="F539">
            <v>2.4306230000000002</v>
          </cell>
          <cell r="G539" t="str">
            <v>NORWAY</v>
          </cell>
          <cell r="H539">
            <v>4</v>
          </cell>
        </row>
        <row r="540">
          <cell r="B540" t="str">
            <v>42490NZD</v>
          </cell>
          <cell r="C540" t="str">
            <v>42490NEW ZEALAND</v>
          </cell>
          <cell r="D540" t="str">
            <v>NZD</v>
          </cell>
          <cell r="E540">
            <v>4.1218182331383115</v>
          </cell>
          <cell r="F540">
            <v>0.98412440000000001</v>
          </cell>
          <cell r="G540" t="str">
            <v>NEW ZEALAND</v>
          </cell>
          <cell r="H540">
            <v>5.2472758251652607</v>
          </cell>
        </row>
        <row r="541">
          <cell r="B541" t="str">
            <v>42490OMR</v>
          </cell>
          <cell r="C541" t="str">
            <v>42490OMAN</v>
          </cell>
          <cell r="D541" t="str">
            <v>OMR</v>
          </cell>
          <cell r="E541">
            <v>4.5676919352295267</v>
          </cell>
          <cell r="F541">
            <v>1.5884857999999999</v>
          </cell>
          <cell r="G541" t="str">
            <v>OMAN</v>
          </cell>
          <cell r="H541">
            <v>5</v>
          </cell>
        </row>
        <row r="542">
          <cell r="B542" t="str">
            <v>42490PEN</v>
          </cell>
          <cell r="C542" t="str">
            <v>42490PERU</v>
          </cell>
          <cell r="D542" t="str">
            <v>PEN</v>
          </cell>
          <cell r="E542">
            <v>4.8597231110706831</v>
          </cell>
          <cell r="F542">
            <v>3.1775334000000002</v>
          </cell>
          <cell r="G542" t="str">
            <v>PERU</v>
          </cell>
          <cell r="H542">
            <v>5</v>
          </cell>
        </row>
        <row r="543">
          <cell r="B543" t="str">
            <v>42490PHP</v>
          </cell>
          <cell r="C543" t="str">
            <v>42490PHILIPPINES</v>
          </cell>
          <cell r="D543" t="str">
            <v>PHP</v>
          </cell>
          <cell r="E543">
            <v>5.4239029788509177</v>
          </cell>
          <cell r="F543">
            <v>2.246642</v>
          </cell>
          <cell r="G543" t="str">
            <v>PHILIPPINES</v>
          </cell>
          <cell r="H543">
            <v>5</v>
          </cell>
        </row>
        <row r="544">
          <cell r="B544" t="str">
            <v>42490PKR</v>
          </cell>
          <cell r="C544" t="str">
            <v>42490PAKISTAN</v>
          </cell>
          <cell r="D544" t="str">
            <v>PKR</v>
          </cell>
          <cell r="E544">
            <v>6.9044641685775101</v>
          </cell>
          <cell r="F544">
            <v>4.8</v>
          </cell>
          <cell r="G544" t="str">
            <v>PAKISTAN</v>
          </cell>
          <cell r="H544">
            <v>5</v>
          </cell>
        </row>
        <row r="545">
          <cell r="B545" t="str">
            <v>42490PLN</v>
          </cell>
          <cell r="C545" t="str">
            <v>42490POLAND</v>
          </cell>
          <cell r="D545" t="str">
            <v>PLN</v>
          </cell>
          <cell r="E545">
            <v>3.8412361073600501</v>
          </cell>
          <cell r="F545">
            <v>0.38840049999999998</v>
          </cell>
          <cell r="G545" t="str">
            <v>POLAND</v>
          </cell>
          <cell r="H545">
            <v>5</v>
          </cell>
        </row>
        <row r="546">
          <cell r="B546" t="str">
            <v>42490QAR</v>
          </cell>
          <cell r="C546" t="str">
            <v>42490QATAR</v>
          </cell>
          <cell r="D546" t="str">
            <v>QAR</v>
          </cell>
          <cell r="E546">
            <v>4.8306558369726673</v>
          </cell>
          <cell r="F546">
            <v>1.5884857999999999</v>
          </cell>
          <cell r="G546" t="str">
            <v>QATAR</v>
          </cell>
          <cell r="H546">
            <v>5</v>
          </cell>
        </row>
        <row r="547">
          <cell r="B547" t="str">
            <v>42490RON</v>
          </cell>
          <cell r="C547" t="str">
            <v>42490ROMANIA</v>
          </cell>
          <cell r="D547" t="str">
            <v>RON</v>
          </cell>
          <cell r="E547">
            <v>4.4405714184492275</v>
          </cell>
          <cell r="F547">
            <v>0.53833960000000003</v>
          </cell>
          <cell r="G547" t="str">
            <v>ROMANIA</v>
          </cell>
          <cell r="H547">
            <v>5</v>
          </cell>
        </row>
        <row r="548">
          <cell r="B548" t="str">
            <v>42490RUB</v>
          </cell>
          <cell r="C548" t="str">
            <v>42490RUSSIAN FEDERATION</v>
          </cell>
          <cell r="D548" t="str">
            <v>RUB</v>
          </cell>
          <cell r="E548">
            <v>7.8008643879939701</v>
          </cell>
          <cell r="F548">
            <v>6.8688535999999996</v>
          </cell>
          <cell r="G548" t="str">
            <v>RUSSIAN FEDERATION</v>
          </cell>
          <cell r="H548">
            <v>5</v>
          </cell>
        </row>
        <row r="549">
          <cell r="B549" t="str">
            <v>42490SAR</v>
          </cell>
          <cell r="C549" t="str">
            <v>42490SAUDI ARABIA</v>
          </cell>
          <cell r="D549" t="str">
            <v>SAR</v>
          </cell>
          <cell r="E549">
            <v>4.337047402578035</v>
          </cell>
          <cell r="F549">
            <v>1.5884857999999999</v>
          </cell>
          <cell r="G549" t="str">
            <v>SAUDI ARABIA</v>
          </cell>
          <cell r="H549">
            <v>5</v>
          </cell>
        </row>
        <row r="550">
          <cell r="B550" t="str">
            <v>42490SEK</v>
          </cell>
          <cell r="C550" t="str">
            <v>42490SWEDEN</v>
          </cell>
          <cell r="D550" t="str">
            <v>SEK</v>
          </cell>
          <cell r="E550">
            <v>3.95556669639228</v>
          </cell>
          <cell r="F550">
            <v>1.0871527999999999</v>
          </cell>
          <cell r="G550" t="str">
            <v>SWEDEN</v>
          </cell>
          <cell r="H550">
            <v>4</v>
          </cell>
        </row>
        <row r="551">
          <cell r="B551" t="str">
            <v>42490SGD</v>
          </cell>
          <cell r="C551" t="str">
            <v>42490SINGAPORE</v>
          </cell>
          <cell r="D551" t="str">
            <v>SGD</v>
          </cell>
          <cell r="E551">
            <v>3.6997334185961774</v>
          </cell>
          <cell r="F551">
            <v>0.115407854</v>
          </cell>
          <cell r="G551" t="str">
            <v>SINGAPORE</v>
          </cell>
          <cell r="H551">
            <v>5</v>
          </cell>
        </row>
        <row r="552">
          <cell r="B552" t="str">
            <v>42490TZS</v>
          </cell>
          <cell r="C552" t="str">
            <v>42490TANZANIA, UNITED REPUBLIC OF</v>
          </cell>
          <cell r="D552" t="str">
            <v>TZS</v>
          </cell>
          <cell r="E552">
            <v>7.5254565064652592</v>
          </cell>
          <cell r="F552">
            <v>5.7386666666666661</v>
          </cell>
          <cell r="G552" t="str">
            <v>TANZANIA, UNITED REPUBLIC OF</v>
          </cell>
          <cell r="H552">
            <v>5</v>
          </cell>
        </row>
        <row r="553">
          <cell r="B553" t="str">
            <v>42490THB</v>
          </cell>
          <cell r="C553" t="str">
            <v>42490THAILAND</v>
          </cell>
          <cell r="D553" t="str">
            <v>THB</v>
          </cell>
          <cell r="E553">
            <v>3.9363951916817888</v>
          </cell>
          <cell r="F553">
            <v>1.0009313</v>
          </cell>
          <cell r="G553" t="str">
            <v>THAILAND</v>
          </cell>
          <cell r="H553">
            <v>5.7633382269143887</v>
          </cell>
        </row>
        <row r="554">
          <cell r="B554" t="str">
            <v>42490TRY</v>
          </cell>
          <cell r="C554" t="str">
            <v>42490TURKEY</v>
          </cell>
          <cell r="D554" t="str">
            <v>TRY</v>
          </cell>
          <cell r="E554">
            <v>10.122130135132704</v>
          </cell>
          <cell r="F554">
            <v>7.9967879999999996</v>
          </cell>
          <cell r="G554" t="str">
            <v>TURKEY</v>
          </cell>
          <cell r="H554">
            <v>6</v>
          </cell>
        </row>
        <row r="555">
          <cell r="B555" t="str">
            <v>42490TWD</v>
          </cell>
          <cell r="C555" t="str">
            <v>42490TAIWAN</v>
          </cell>
          <cell r="D555" t="str">
            <v>TWD</v>
          </cell>
          <cell r="E555">
            <v>3.5293203653624907</v>
          </cell>
          <cell r="F555">
            <v>1.0096611</v>
          </cell>
          <cell r="G555" t="str">
            <v>TAIWAN</v>
          </cell>
          <cell r="H555">
            <v>5</v>
          </cell>
        </row>
        <row r="556">
          <cell r="B556" t="str">
            <v>42490UAH</v>
          </cell>
          <cell r="C556" t="str">
            <v>42490UKRAINE</v>
          </cell>
          <cell r="D556" t="str">
            <v>UAH</v>
          </cell>
          <cell r="E556">
            <v>11.41857511931315</v>
          </cell>
          <cell r="F556">
            <v>15.200613000000001</v>
          </cell>
          <cell r="G556" t="str">
            <v>UKRAINE</v>
          </cell>
          <cell r="H556">
            <v>5</v>
          </cell>
        </row>
        <row r="557">
          <cell r="B557" t="str">
            <v>42490USD</v>
          </cell>
          <cell r="C557" t="str">
            <v>42490UNITED STATES</v>
          </cell>
          <cell r="D557" t="str">
            <v>USD</v>
          </cell>
          <cell r="E557">
            <v>3.7543520469065319</v>
          </cell>
          <cell r="F557">
            <v>1.5884857999999999</v>
          </cell>
          <cell r="G557" t="str">
            <v>UNITED STATES</v>
          </cell>
          <cell r="H557">
            <v>4</v>
          </cell>
        </row>
        <row r="558">
          <cell r="B558" t="str">
            <v>42490VND</v>
          </cell>
          <cell r="C558" t="str">
            <v>42490VIET NAM</v>
          </cell>
          <cell r="D558" t="str">
            <v>VND</v>
          </cell>
          <cell r="E558">
            <v>4.9860376606171855</v>
          </cell>
          <cell r="F558">
            <v>3.1666664999999998</v>
          </cell>
          <cell r="G558" t="str">
            <v>VIET NAM</v>
          </cell>
          <cell r="H558">
            <v>7.213695757978992</v>
          </cell>
        </row>
        <row r="559">
          <cell r="B559" t="str">
            <v>42490ZAR</v>
          </cell>
          <cell r="C559" t="str">
            <v>42490SOUTH AFRICA</v>
          </cell>
          <cell r="D559" t="str">
            <v>ZAR</v>
          </cell>
          <cell r="E559">
            <v>8.1587023123335349</v>
          </cell>
          <cell r="F559">
            <v>6.3592614999999997</v>
          </cell>
          <cell r="G559" t="str">
            <v>SOUTH AFRICA</v>
          </cell>
          <cell r="H559">
            <v>5</v>
          </cell>
        </row>
        <row r="560">
          <cell r="B560" t="str">
            <v>42490EUR1</v>
          </cell>
          <cell r="C560" t="str">
            <v>42490BELGIUM</v>
          </cell>
          <cell r="D560" t="str">
            <v>EUR1</v>
          </cell>
          <cell r="E560">
            <v>3.3352315657809752</v>
          </cell>
          <cell r="G560" t="str">
            <v>BELGIUM</v>
          </cell>
          <cell r="H560">
            <v>4</v>
          </cell>
        </row>
        <row r="561">
          <cell r="B561" t="str">
            <v>42490EUR2</v>
          </cell>
          <cell r="C561" t="str">
            <v>42490CYPRUS</v>
          </cell>
          <cell r="D561" t="str">
            <v>EUR2</v>
          </cell>
          <cell r="E561">
            <v>3.3352315657809752</v>
          </cell>
          <cell r="G561" t="str">
            <v>CYPRUS</v>
          </cell>
          <cell r="H561">
            <v>5</v>
          </cell>
        </row>
        <row r="562">
          <cell r="B562" t="str">
            <v>42490EUR3</v>
          </cell>
          <cell r="C562" t="str">
            <v>42490ESTONIA</v>
          </cell>
          <cell r="D562" t="str">
            <v>EUR3</v>
          </cell>
          <cell r="E562">
            <v>3.3352315657809752</v>
          </cell>
          <cell r="G562" t="str">
            <v>ESTONIA</v>
          </cell>
          <cell r="H562">
            <v>5</v>
          </cell>
        </row>
        <row r="563">
          <cell r="B563" t="str">
            <v>42490EUR4</v>
          </cell>
          <cell r="C563" t="str">
            <v>42490FINLAND</v>
          </cell>
          <cell r="D563" t="str">
            <v>EUR4</v>
          </cell>
          <cell r="E563">
            <v>3.3352315657809752</v>
          </cell>
          <cell r="G563" t="str">
            <v>FINLAND</v>
          </cell>
          <cell r="H563">
            <v>4</v>
          </cell>
        </row>
        <row r="564">
          <cell r="B564" t="str">
            <v>42490EUR5</v>
          </cell>
          <cell r="C564" t="str">
            <v>42490FRANCE</v>
          </cell>
          <cell r="D564" t="str">
            <v>EUR5</v>
          </cell>
          <cell r="E564">
            <v>3.3352315657809752</v>
          </cell>
          <cell r="G564" t="str">
            <v>FRANCE</v>
          </cell>
          <cell r="H564">
            <v>4</v>
          </cell>
        </row>
        <row r="565">
          <cell r="B565" t="str">
            <v>42490EUR6</v>
          </cell>
          <cell r="C565" t="str">
            <v>42490GERMANY</v>
          </cell>
          <cell r="D565" t="str">
            <v>EUR6</v>
          </cell>
          <cell r="E565">
            <v>3.3352315657809752</v>
          </cell>
          <cell r="G565" t="str">
            <v>GERMANY</v>
          </cell>
          <cell r="H565">
            <v>4.2730587794838035</v>
          </cell>
        </row>
        <row r="566">
          <cell r="B566" t="str">
            <v>42490EUR7</v>
          </cell>
          <cell r="C566" t="str">
            <v>42490GREECE</v>
          </cell>
          <cell r="D566" t="str">
            <v>EUR7</v>
          </cell>
          <cell r="E566">
            <v>3.3352315657809752</v>
          </cell>
          <cell r="G566" t="str">
            <v>GREECE</v>
          </cell>
          <cell r="H566">
            <v>10</v>
          </cell>
        </row>
        <row r="567">
          <cell r="B567" t="str">
            <v>42490EUR8</v>
          </cell>
          <cell r="C567" t="str">
            <v>42490IRELAND</v>
          </cell>
          <cell r="D567" t="str">
            <v>EUR8</v>
          </cell>
          <cell r="E567">
            <v>3.3352315657809752</v>
          </cell>
          <cell r="G567" t="str">
            <v>IRELAND</v>
          </cell>
          <cell r="H567">
            <v>4</v>
          </cell>
        </row>
        <row r="568">
          <cell r="B568" t="str">
            <v>42490EUR9</v>
          </cell>
          <cell r="C568" t="str">
            <v>42490ITALY</v>
          </cell>
          <cell r="D568" t="str">
            <v>EUR9</v>
          </cell>
          <cell r="E568">
            <v>3.3352315657809752</v>
          </cell>
          <cell r="G568" t="str">
            <v>ITALY</v>
          </cell>
          <cell r="H568">
            <v>4</v>
          </cell>
        </row>
        <row r="569">
          <cell r="B569" t="str">
            <v>42490EUR10</v>
          </cell>
          <cell r="C569" t="str">
            <v>42490LATVIA</v>
          </cell>
          <cell r="D569" t="str">
            <v>EUR10</v>
          </cell>
          <cell r="E569">
            <v>3.3352315657809752</v>
          </cell>
          <cell r="G569" t="str">
            <v>LATVIA</v>
          </cell>
          <cell r="H569">
            <v>5</v>
          </cell>
        </row>
        <row r="570">
          <cell r="B570" t="str">
            <v>42490EUR11</v>
          </cell>
          <cell r="C570" t="str">
            <v>42490LUXEMBOURG</v>
          </cell>
          <cell r="D570" t="str">
            <v>EUR11</v>
          </cell>
          <cell r="E570">
            <v>3.3352315657809752</v>
          </cell>
          <cell r="G570" t="str">
            <v>LUXEMBOURG</v>
          </cell>
          <cell r="H570">
            <v>4</v>
          </cell>
        </row>
        <row r="571">
          <cell r="B571" t="str">
            <v>42490EUR12</v>
          </cell>
          <cell r="C571" t="str">
            <v>42490MALTA</v>
          </cell>
          <cell r="D571" t="str">
            <v>EUR12</v>
          </cell>
          <cell r="E571">
            <v>3.3352315657809752</v>
          </cell>
          <cell r="G571" t="str">
            <v>MALTA</v>
          </cell>
          <cell r="H571">
            <v>5</v>
          </cell>
        </row>
        <row r="572">
          <cell r="B572" t="str">
            <v>42490EUR13</v>
          </cell>
          <cell r="C572" t="str">
            <v>42490MONTENEGRO</v>
          </cell>
          <cell r="D572" t="str">
            <v>EUR13</v>
          </cell>
          <cell r="E572">
            <v>3.3352315657809752</v>
          </cell>
          <cell r="G572" t="str">
            <v>MONTENEGRO</v>
          </cell>
          <cell r="H572">
            <v>5</v>
          </cell>
        </row>
        <row r="573">
          <cell r="B573" t="str">
            <v>42490EUR14</v>
          </cell>
          <cell r="C573" t="str">
            <v>42490NETHERLANDS</v>
          </cell>
          <cell r="D573" t="str">
            <v>EUR14</v>
          </cell>
          <cell r="E573">
            <v>3.3352315657809752</v>
          </cell>
          <cell r="G573" t="str">
            <v>NETHERLANDS</v>
          </cell>
          <cell r="H573">
            <v>4</v>
          </cell>
        </row>
        <row r="574">
          <cell r="B574" t="str">
            <v>42490EUR15</v>
          </cell>
          <cell r="C574" t="str">
            <v>42490PORTUGAL</v>
          </cell>
          <cell r="D574" t="str">
            <v>EUR15</v>
          </cell>
          <cell r="E574">
            <v>3.3352315657809752</v>
          </cell>
          <cell r="G574" t="str">
            <v>PORTUGAL</v>
          </cell>
          <cell r="H574">
            <v>4</v>
          </cell>
        </row>
        <row r="575">
          <cell r="B575" t="str">
            <v>42490EUR16</v>
          </cell>
          <cell r="C575" t="str">
            <v>42490SLOVAKIA</v>
          </cell>
          <cell r="D575" t="str">
            <v>EUR16</v>
          </cell>
          <cell r="E575">
            <v>3.3352315657809752</v>
          </cell>
          <cell r="G575" t="str">
            <v>SLOVAKIA</v>
          </cell>
          <cell r="H575">
            <v>5</v>
          </cell>
        </row>
        <row r="576">
          <cell r="B576" t="str">
            <v>42490EUR17</v>
          </cell>
          <cell r="C576" t="str">
            <v>42490SLOVENIA</v>
          </cell>
          <cell r="D576" t="str">
            <v>EUR17</v>
          </cell>
          <cell r="E576">
            <v>3.3352315657809752</v>
          </cell>
          <cell r="G576" t="str">
            <v>SLOVENIA</v>
          </cell>
          <cell r="H576">
            <v>5</v>
          </cell>
        </row>
        <row r="577">
          <cell r="B577" t="str">
            <v>42490EUR18</v>
          </cell>
          <cell r="C577" t="str">
            <v>42490SPAIN</v>
          </cell>
          <cell r="D577" t="str">
            <v>EUR18</v>
          </cell>
          <cell r="E577">
            <v>3.3352315657809752</v>
          </cell>
          <cell r="G577" t="str">
            <v>SPAIN</v>
          </cell>
          <cell r="H577">
            <v>4</v>
          </cell>
        </row>
        <row r="578">
          <cell r="B578" t="str">
            <v>42490Eastern European Institutions</v>
          </cell>
          <cell r="C578" t="str">
            <v>42490Eastern European Institutions</v>
          </cell>
          <cell r="D578" t="str">
            <v>Eastern European Institutions</v>
          </cell>
          <cell r="E578">
            <v>2.25</v>
          </cell>
          <cell r="G578" t="str">
            <v>Eastern European Institutions</v>
          </cell>
          <cell r="H578">
            <v>5</v>
          </cell>
        </row>
        <row r="579">
          <cell r="B579" t="str">
            <v>42521AED</v>
          </cell>
          <cell r="C579" t="str">
            <v>42521U. A. E.</v>
          </cell>
          <cell r="D579" t="str">
            <v>AED</v>
          </cell>
          <cell r="E579">
            <v>5.3453380422483523</v>
          </cell>
          <cell r="F579">
            <v>1.636574</v>
          </cell>
          <cell r="G579" t="str">
            <v>U. A. E.</v>
          </cell>
          <cell r="H579">
            <v>5</v>
          </cell>
        </row>
        <row r="580">
          <cell r="B580" t="str">
            <v>42521ARS</v>
          </cell>
          <cell r="C580" t="str">
            <v>42521ARGENTINA</v>
          </cell>
          <cell r="D580" t="str">
            <v>ARS</v>
          </cell>
          <cell r="E580">
            <v>19.107526406875035</v>
          </cell>
          <cell r="F580">
            <v>28.895351000000002</v>
          </cell>
          <cell r="G580" t="str">
            <v>ARGENTINA</v>
          </cell>
          <cell r="H580">
            <v>5</v>
          </cell>
        </row>
        <row r="581">
          <cell r="B581" t="str">
            <v>42521AUD</v>
          </cell>
          <cell r="C581" t="str">
            <v>42521AUSTRALIA</v>
          </cell>
          <cell r="D581" t="str">
            <v>AUD</v>
          </cell>
          <cell r="E581">
            <v>4.6412929023544471</v>
          </cell>
          <cell r="F581">
            <v>1.9229925000000001</v>
          </cell>
          <cell r="G581" t="str">
            <v>AUSTRALIA</v>
          </cell>
          <cell r="H581">
            <v>4.7278011559491251</v>
          </cell>
        </row>
        <row r="582">
          <cell r="B582" t="str">
            <v>42521BDT</v>
          </cell>
          <cell r="C582" t="str">
            <v>42521BANGLADESH</v>
          </cell>
          <cell r="D582" t="str">
            <v>BDT</v>
          </cell>
          <cell r="E582">
            <v>8.7282761424205138</v>
          </cell>
          <cell r="F582">
            <v>6.1</v>
          </cell>
          <cell r="G582" t="str">
            <v>BANGLADESH</v>
          </cell>
          <cell r="H582">
            <v>5</v>
          </cell>
        </row>
        <row r="583">
          <cell r="B583" t="str">
            <v>42521BRL</v>
          </cell>
          <cell r="C583" t="str">
            <v>42521BRAZIL</v>
          </cell>
          <cell r="D583" t="str">
            <v>BRL</v>
          </cell>
          <cell r="E583">
            <v>8.3315082513534957</v>
          </cell>
          <cell r="F583">
            <v>6.3797280000000001</v>
          </cell>
          <cell r="G583" t="str">
            <v>BRAZIL</v>
          </cell>
          <cell r="H583">
            <v>6</v>
          </cell>
        </row>
        <row r="584">
          <cell r="B584" t="str">
            <v>42521BWP</v>
          </cell>
          <cell r="C584" t="str">
            <v>42521BOTSWANA</v>
          </cell>
          <cell r="D584" t="str">
            <v>BWP</v>
          </cell>
          <cell r="E584">
            <v>6.1094488488926215</v>
          </cell>
          <cell r="F584">
            <v>3.4541666666666666</v>
          </cell>
          <cell r="G584" t="str">
            <v>BOTSWANA</v>
          </cell>
          <cell r="H584">
            <v>5</v>
          </cell>
        </row>
        <row r="585">
          <cell r="B585" t="str">
            <v>42521CAD</v>
          </cell>
          <cell r="C585" t="str">
            <v>42521CANADA</v>
          </cell>
          <cell r="D585" t="str">
            <v>CAD</v>
          </cell>
          <cell r="E585">
            <v>4.0966815822429039</v>
          </cell>
          <cell r="F585">
            <v>1.7684499</v>
          </cell>
          <cell r="G585" t="str">
            <v>CANADA</v>
          </cell>
          <cell r="H585">
            <v>4</v>
          </cell>
        </row>
        <row r="586">
          <cell r="B586" t="str">
            <v>42521CHF</v>
          </cell>
          <cell r="C586" t="str">
            <v>42521SWITZERLAND</v>
          </cell>
          <cell r="D586" t="str">
            <v>CHF</v>
          </cell>
          <cell r="E586">
            <v>2.6195261958107432</v>
          </cell>
          <cell r="F586">
            <v>-0.24967202999999999</v>
          </cell>
          <cell r="G586" t="str">
            <v>SWITZERLAND</v>
          </cell>
          <cell r="H586">
            <v>4</v>
          </cell>
        </row>
        <row r="587">
          <cell r="B587" t="str">
            <v>42521CLP</v>
          </cell>
          <cell r="C587" t="str">
            <v>42521CHILE</v>
          </cell>
          <cell r="D587" t="str">
            <v>CLP</v>
          </cell>
          <cell r="E587">
            <v>5.4691179143838733</v>
          </cell>
          <cell r="F587">
            <v>3.281549</v>
          </cell>
          <cell r="G587" t="str">
            <v>CHILE</v>
          </cell>
          <cell r="H587">
            <v>5</v>
          </cell>
        </row>
        <row r="588">
          <cell r="B588" t="str">
            <v>42521CNY</v>
          </cell>
          <cell r="C588" t="str">
            <v>42521CHINA</v>
          </cell>
          <cell r="D588" t="str">
            <v>CNY</v>
          </cell>
          <cell r="E588">
            <v>4.5690940583035724</v>
          </cell>
          <cell r="F588">
            <v>1.8724384999999999</v>
          </cell>
          <cell r="G588" t="str">
            <v>CHINA</v>
          </cell>
          <cell r="H588">
            <v>5</v>
          </cell>
        </row>
        <row r="589">
          <cell r="B589" t="str">
            <v>42521COP</v>
          </cell>
          <cell r="C589" t="str">
            <v>42521COLOMBIA</v>
          </cell>
          <cell r="D589" t="str">
            <v>COP</v>
          </cell>
          <cell r="E589">
            <v>6.1921648305771662</v>
          </cell>
          <cell r="F589">
            <v>4.8701743999999998</v>
          </cell>
          <cell r="G589" t="str">
            <v>COLOMBIA</v>
          </cell>
          <cell r="H589">
            <v>5</v>
          </cell>
        </row>
        <row r="590">
          <cell r="B590" t="str">
            <v>42521CZK</v>
          </cell>
          <cell r="C590" t="str">
            <v>42521CZECH REPUBLIC</v>
          </cell>
          <cell r="D590" t="str">
            <v>CZK</v>
          </cell>
          <cell r="E590">
            <v>4.0937457684019609</v>
          </cell>
          <cell r="F590">
            <v>1.1381074</v>
          </cell>
          <cell r="G590" t="str">
            <v>CZECH REPUBLIC</v>
          </cell>
          <cell r="H590">
            <v>5</v>
          </cell>
        </row>
        <row r="591">
          <cell r="B591" t="str">
            <v>42521DKK</v>
          </cell>
          <cell r="C591" t="str">
            <v>42521DENMARK</v>
          </cell>
          <cell r="D591" t="str">
            <v>DKK</v>
          </cell>
          <cell r="E591">
            <v>3.8290055275646475</v>
          </cell>
          <cell r="F591">
            <v>1.1902695999999999</v>
          </cell>
          <cell r="G591" t="str">
            <v>DENMARK</v>
          </cell>
          <cell r="H591">
            <v>4</v>
          </cell>
        </row>
        <row r="592">
          <cell r="B592" t="str">
            <v>42521EGP</v>
          </cell>
          <cell r="C592" t="str">
            <v>42521EGYPT</v>
          </cell>
          <cell r="D592" t="str">
            <v>EGP</v>
          </cell>
          <cell r="E592">
            <v>10.752482653679188</v>
          </cell>
          <cell r="F592">
            <v>10.793329</v>
          </cell>
          <cell r="G592" t="str">
            <v>EGYPT</v>
          </cell>
          <cell r="H592">
            <v>6</v>
          </cell>
        </row>
        <row r="593">
          <cell r="B593" t="str">
            <v>42521EUR</v>
          </cell>
          <cell r="C593" t="str">
            <v>42521AUSTRIA</v>
          </cell>
          <cell r="D593" t="str">
            <v>EUR</v>
          </cell>
          <cell r="E593">
            <v>3.3352315657809752</v>
          </cell>
          <cell r="F593">
            <v>0.57779404705551585</v>
          </cell>
          <cell r="G593" t="str">
            <v>AUSTRIA</v>
          </cell>
          <cell r="H593">
            <v>4</v>
          </cell>
        </row>
        <row r="594">
          <cell r="B594" t="str">
            <v>42521GBP</v>
          </cell>
          <cell r="C594" t="str">
            <v>42521UNITED KINGDOM</v>
          </cell>
          <cell r="D594" t="str">
            <v>GBP</v>
          </cell>
          <cell r="E594">
            <v>3.9790644837374192</v>
          </cell>
          <cell r="F594">
            <v>1.1133945000000001</v>
          </cell>
          <cell r="G594" t="str">
            <v>UNITED KINGDOM</v>
          </cell>
          <cell r="H594">
            <v>4</v>
          </cell>
        </row>
        <row r="595">
          <cell r="B595" t="str">
            <v>42521GEL</v>
          </cell>
          <cell r="C595" t="str">
            <v>42521GEORGIA</v>
          </cell>
          <cell r="D595" t="str">
            <v>GEL</v>
          </cell>
          <cell r="E595">
            <v>5.910453326152191</v>
          </cell>
          <cell r="F595">
            <v>4.3943333333333339</v>
          </cell>
          <cell r="G595" t="str">
            <v>GEORGIA</v>
          </cell>
          <cell r="H595">
            <v>5</v>
          </cell>
        </row>
        <row r="596">
          <cell r="B596" t="str">
            <v>42521HKD</v>
          </cell>
          <cell r="C596" t="str">
            <v>42521HONG KONG</v>
          </cell>
          <cell r="D596" t="str">
            <v>HKD</v>
          </cell>
          <cell r="E596">
            <v>4.9499026289057593</v>
          </cell>
          <cell r="F596">
            <v>1.636574</v>
          </cell>
          <cell r="G596" t="str">
            <v>HONG KONG</v>
          </cell>
          <cell r="H596">
            <v>4.1191914293978131</v>
          </cell>
        </row>
        <row r="597">
          <cell r="B597" t="str">
            <v>42521HRK</v>
          </cell>
          <cell r="C597" t="str">
            <v>42521CROATIA</v>
          </cell>
          <cell r="D597" t="str">
            <v>HRK</v>
          </cell>
          <cell r="E597">
            <v>3.7135338084439065</v>
          </cell>
          <cell r="F597">
            <v>0.78583333333333349</v>
          </cell>
          <cell r="G597" t="str">
            <v>CROATIA</v>
          </cell>
          <cell r="H597">
            <v>5</v>
          </cell>
        </row>
        <row r="598">
          <cell r="B598" t="str">
            <v>42521HUF</v>
          </cell>
          <cell r="C598" t="str">
            <v>42521HUNGARY</v>
          </cell>
          <cell r="D598" t="str">
            <v>HUF</v>
          </cell>
          <cell r="E598">
            <v>4.5059285274373009</v>
          </cell>
          <cell r="F598">
            <v>1.1730231</v>
          </cell>
          <cell r="G598" t="str">
            <v>HUNGARY</v>
          </cell>
          <cell r="H598">
            <v>5</v>
          </cell>
        </row>
        <row r="599">
          <cell r="B599" t="str">
            <v>42521IDR</v>
          </cell>
          <cell r="C599" t="str">
            <v>42521INDONESIA</v>
          </cell>
          <cell r="D599" t="str">
            <v>IDR</v>
          </cell>
          <cell r="E599">
            <v>6.5665248781261489</v>
          </cell>
          <cell r="F599">
            <v>4.5633483000000004</v>
          </cell>
          <cell r="G599" t="str">
            <v>INDONESIA</v>
          </cell>
          <cell r="H599">
            <v>5</v>
          </cell>
        </row>
        <row r="600">
          <cell r="B600" t="str">
            <v>42521ILS</v>
          </cell>
          <cell r="C600" t="str">
            <v>42521ISRAEL</v>
          </cell>
          <cell r="D600" t="str">
            <v>ILS</v>
          </cell>
          <cell r="E600">
            <v>3.5188753800549346</v>
          </cell>
          <cell r="F600">
            <v>0.81089370000000005</v>
          </cell>
          <cell r="G600" t="str">
            <v>ISRAEL</v>
          </cell>
          <cell r="H600">
            <v>4</v>
          </cell>
        </row>
        <row r="601">
          <cell r="B601" t="str">
            <v>42521INR</v>
          </cell>
          <cell r="C601" t="str">
            <v>42521INDIA</v>
          </cell>
          <cell r="D601" t="str">
            <v>INR</v>
          </cell>
          <cell r="E601">
            <v>7.5524751613458765</v>
          </cell>
          <cell r="F601">
            <v>5.1041106999999997</v>
          </cell>
          <cell r="G601" t="str">
            <v>INDIA</v>
          </cell>
          <cell r="H601">
            <v>5</v>
          </cell>
        </row>
        <row r="602">
          <cell r="B602" t="str">
            <v>42521IQD</v>
          </cell>
          <cell r="C602" t="str">
            <v>42521IRAQ</v>
          </cell>
          <cell r="D602" t="str">
            <v>IQD</v>
          </cell>
          <cell r="E602">
            <v>4.2500000000000018</v>
          </cell>
          <cell r="F602">
            <v>2</v>
          </cell>
          <cell r="G602" t="str">
            <v>IRAQ</v>
          </cell>
          <cell r="H602">
            <v>5</v>
          </cell>
        </row>
        <row r="603">
          <cell r="B603" t="str">
            <v>42521JPY</v>
          </cell>
          <cell r="C603" t="str">
            <v>42521JAPAN</v>
          </cell>
          <cell r="D603" t="str">
            <v>JPY</v>
          </cell>
          <cell r="E603">
            <v>3.0365726764600511</v>
          </cell>
          <cell r="F603">
            <v>0.62301147000000001</v>
          </cell>
          <cell r="G603" t="str">
            <v>JAPAN</v>
          </cell>
          <cell r="H603">
            <v>4</v>
          </cell>
        </row>
        <row r="604">
          <cell r="B604" t="str">
            <v>42521KES</v>
          </cell>
          <cell r="C604" t="str">
            <v>42521KENYA</v>
          </cell>
          <cell r="D604" t="str">
            <v>KES</v>
          </cell>
          <cell r="E604">
            <v>7.7087896811692405</v>
          </cell>
          <cell r="F604">
            <v>6.1416666666666675</v>
          </cell>
          <cell r="G604" t="str">
            <v>KENYA</v>
          </cell>
          <cell r="H604">
            <v>5</v>
          </cell>
        </row>
        <row r="605">
          <cell r="B605" t="str">
            <v>42521KHR</v>
          </cell>
          <cell r="C605" t="str">
            <v>42521CAMBODIA</v>
          </cell>
          <cell r="D605" t="str">
            <v>KHR</v>
          </cell>
          <cell r="E605">
            <v>5.0607390049122216</v>
          </cell>
          <cell r="F605">
            <v>2.413416666666667</v>
          </cell>
          <cell r="G605" t="str">
            <v>CAMBODIA</v>
          </cell>
          <cell r="H605">
            <v>5</v>
          </cell>
        </row>
        <row r="606">
          <cell r="B606" t="str">
            <v>42521KRW</v>
          </cell>
          <cell r="C606" t="str">
            <v>42521KOREA SOUTH(REPUBLIC OF KOREA)</v>
          </cell>
          <cell r="D606" t="str">
            <v>KRW</v>
          </cell>
          <cell r="E606">
            <v>4.1596838783537295</v>
          </cell>
          <cell r="F606">
            <v>1.4371376</v>
          </cell>
          <cell r="G606" t="str">
            <v>KOREA SOUTH(REPUBLIC OF KOREA)</v>
          </cell>
          <cell r="H606">
            <v>5</v>
          </cell>
        </row>
        <row r="607">
          <cell r="B607" t="str">
            <v>42521KWD</v>
          </cell>
          <cell r="C607" t="str">
            <v>42521KUWAIT</v>
          </cell>
          <cell r="D607" t="str">
            <v>KWD</v>
          </cell>
          <cell r="E607">
            <v>5.7499806763212904</v>
          </cell>
          <cell r="F607">
            <v>3.4416666666666669</v>
          </cell>
          <cell r="G607" t="str">
            <v>KUWAIT</v>
          </cell>
          <cell r="H607">
            <v>5</v>
          </cell>
        </row>
        <row r="608">
          <cell r="B608" t="str">
            <v>42521LKR</v>
          </cell>
          <cell r="C608" t="str">
            <v>42521SRI LANKA</v>
          </cell>
          <cell r="D608" t="str">
            <v>LKR</v>
          </cell>
          <cell r="E608">
            <v>6.8375902073245989</v>
          </cell>
          <cell r="F608">
            <v>4.1500000000000004</v>
          </cell>
          <cell r="G608" t="str">
            <v>SRI LANKA</v>
          </cell>
          <cell r="H608">
            <v>5</v>
          </cell>
        </row>
        <row r="609">
          <cell r="B609" t="str">
            <v>42521KZT</v>
          </cell>
          <cell r="C609" t="str">
            <v>42521KAZAKHSTAN</v>
          </cell>
          <cell r="D609" t="str">
            <v>KZT</v>
          </cell>
          <cell r="E609">
            <v>11.702472282512669</v>
          </cell>
          <cell r="F609">
            <v>11.490500000000001</v>
          </cell>
          <cell r="G609" t="str">
            <v>KAZAKHSTAN</v>
          </cell>
          <cell r="H609">
            <v>5</v>
          </cell>
        </row>
        <row r="610">
          <cell r="B610" t="str">
            <v>42521MAD</v>
          </cell>
          <cell r="C610" t="str">
            <v>42521MOROCCO</v>
          </cell>
          <cell r="D610" t="str">
            <v>MAD</v>
          </cell>
          <cell r="E610">
            <v>4.1498033428810901</v>
          </cell>
          <cell r="F610">
            <v>1.7083333333333335</v>
          </cell>
          <cell r="G610" t="str">
            <v>MOROCCO</v>
          </cell>
          <cell r="H610">
            <v>5</v>
          </cell>
        </row>
        <row r="611">
          <cell r="B611" t="str">
            <v>42521MXN</v>
          </cell>
          <cell r="C611" t="str">
            <v>42521MEXICO</v>
          </cell>
          <cell r="D611" t="str">
            <v>MXN</v>
          </cell>
          <cell r="E611">
            <v>5.2343901670048023</v>
          </cell>
          <cell r="F611">
            <v>3.2431926999999998</v>
          </cell>
          <cell r="G611" t="str">
            <v>MEXICO</v>
          </cell>
          <cell r="H611">
            <v>5</v>
          </cell>
        </row>
        <row r="612">
          <cell r="B612" t="str">
            <v>42521MYR</v>
          </cell>
          <cell r="C612" t="str">
            <v>42521MALAYSIA</v>
          </cell>
          <cell r="D612" t="str">
            <v>MYR</v>
          </cell>
          <cell r="E612">
            <v>5.2525698562266889</v>
          </cell>
          <cell r="F612">
            <v>2.5918220999999999</v>
          </cell>
          <cell r="G612" t="str">
            <v>MALAYSIA</v>
          </cell>
          <cell r="H612">
            <v>5</v>
          </cell>
        </row>
        <row r="613">
          <cell r="B613" t="str">
            <v>42521NGN</v>
          </cell>
          <cell r="C613" t="str">
            <v>42521NIGERIA</v>
          </cell>
          <cell r="D613" t="str">
            <v>NGN</v>
          </cell>
          <cell r="E613">
            <v>13.288855732504228</v>
          </cell>
          <cell r="F613">
            <v>10.906753999999999</v>
          </cell>
          <cell r="G613" t="str">
            <v>NIGERIA</v>
          </cell>
          <cell r="H613">
            <v>6</v>
          </cell>
        </row>
        <row r="614">
          <cell r="B614" t="str">
            <v>42521NOK</v>
          </cell>
          <cell r="C614" t="str">
            <v>42521NORWAY</v>
          </cell>
          <cell r="D614" t="str">
            <v>NOK</v>
          </cell>
          <cell r="E614">
            <v>4.8099298792005287</v>
          </cell>
          <cell r="F614">
            <v>2.4227257</v>
          </cell>
          <cell r="G614" t="str">
            <v>NORWAY</v>
          </cell>
          <cell r="H614">
            <v>4</v>
          </cell>
        </row>
        <row r="615">
          <cell r="B615" t="str">
            <v>42521NZD</v>
          </cell>
          <cell r="C615" t="str">
            <v>42521NEW ZEALAND</v>
          </cell>
          <cell r="D615" t="str">
            <v>NZD</v>
          </cell>
          <cell r="E615">
            <v>4.1218182331383115</v>
          </cell>
          <cell r="F615">
            <v>1.0187379999999999</v>
          </cell>
          <cell r="G615" t="str">
            <v>NEW ZEALAND</v>
          </cell>
          <cell r="H615">
            <v>5.2472758251652607</v>
          </cell>
        </row>
        <row r="616">
          <cell r="B616" t="str">
            <v>42521OMR</v>
          </cell>
          <cell r="C616" t="str">
            <v>42521OMAN</v>
          </cell>
          <cell r="D616" t="str">
            <v>OMR</v>
          </cell>
          <cell r="E616">
            <v>4.5676919352295267</v>
          </cell>
          <cell r="F616">
            <v>1.636574</v>
          </cell>
          <cell r="G616" t="str">
            <v>OMAN</v>
          </cell>
          <cell r="H616">
            <v>5</v>
          </cell>
        </row>
        <row r="617">
          <cell r="B617" t="str">
            <v>42521PEN</v>
          </cell>
          <cell r="C617" t="str">
            <v>42521PERU</v>
          </cell>
          <cell r="D617" t="str">
            <v>PEN</v>
          </cell>
          <cell r="E617">
            <v>4.8597231110706831</v>
          </cell>
          <cell r="F617">
            <v>3.0657673000000001</v>
          </cell>
          <cell r="G617" t="str">
            <v>PERU</v>
          </cell>
          <cell r="H617">
            <v>5</v>
          </cell>
        </row>
        <row r="618">
          <cell r="B618" t="str">
            <v>42521PHP</v>
          </cell>
          <cell r="C618" t="str">
            <v>42521PHILIPPINES</v>
          </cell>
          <cell r="D618" t="str">
            <v>PHP</v>
          </cell>
          <cell r="E618">
            <v>5.4239029788509177</v>
          </cell>
          <cell r="F618">
            <v>2.248189</v>
          </cell>
          <cell r="G618" t="str">
            <v>PHILIPPINES</v>
          </cell>
          <cell r="H618">
            <v>5</v>
          </cell>
        </row>
        <row r="619">
          <cell r="B619" t="str">
            <v>42521PKR</v>
          </cell>
          <cell r="C619" t="str">
            <v>42521PAKISTAN</v>
          </cell>
          <cell r="D619" t="str">
            <v>PKR</v>
          </cell>
          <cell r="E619">
            <v>6.9044641685775101</v>
          </cell>
          <cell r="F619">
            <v>4.4916669999999996</v>
          </cell>
          <cell r="G619" t="str">
            <v>PAKISTAN</v>
          </cell>
          <cell r="H619">
            <v>5</v>
          </cell>
        </row>
        <row r="620">
          <cell r="B620" t="str">
            <v>42521PLN</v>
          </cell>
          <cell r="C620" t="str">
            <v>42521POLAND</v>
          </cell>
          <cell r="D620" t="str">
            <v>PLN</v>
          </cell>
          <cell r="E620">
            <v>3.8412361073600501</v>
          </cell>
          <cell r="F620">
            <v>0.46600878000000001</v>
          </cell>
          <cell r="G620" t="str">
            <v>POLAND</v>
          </cell>
          <cell r="H620">
            <v>5</v>
          </cell>
        </row>
        <row r="621">
          <cell r="B621" t="str">
            <v>42521QAR</v>
          </cell>
          <cell r="C621" t="str">
            <v>42521QATAR</v>
          </cell>
          <cell r="D621" t="str">
            <v>QAR</v>
          </cell>
          <cell r="E621">
            <v>4.8306558369726673</v>
          </cell>
          <cell r="F621">
            <v>1.636574</v>
          </cell>
          <cell r="G621" t="str">
            <v>QATAR</v>
          </cell>
          <cell r="H621">
            <v>5</v>
          </cell>
        </row>
        <row r="622">
          <cell r="B622" t="str">
            <v>42521RON</v>
          </cell>
          <cell r="C622" t="str">
            <v>42521ROMANIA</v>
          </cell>
          <cell r="D622" t="str">
            <v>RON</v>
          </cell>
          <cell r="E622">
            <v>4.4405714184492275</v>
          </cell>
          <cell r="F622">
            <v>0.58645650000000005</v>
          </cell>
          <cell r="G622" t="str">
            <v>ROMANIA</v>
          </cell>
          <cell r="H622">
            <v>5</v>
          </cell>
        </row>
        <row r="623">
          <cell r="B623" t="str">
            <v>42521RUB</v>
          </cell>
          <cell r="C623" t="str">
            <v>42521RUSSIAN FEDERATION</v>
          </cell>
          <cell r="D623" t="str">
            <v>RUB</v>
          </cell>
          <cell r="E623">
            <v>7.8008643879939701</v>
          </cell>
          <cell r="F623">
            <v>6.5476739999999998</v>
          </cell>
          <cell r="G623" t="str">
            <v>RUSSIAN FEDERATION</v>
          </cell>
          <cell r="H623">
            <v>5</v>
          </cell>
        </row>
        <row r="624">
          <cell r="B624" t="str">
            <v>42521SAR</v>
          </cell>
          <cell r="C624" t="str">
            <v>42521SAUDI ARABIA</v>
          </cell>
          <cell r="D624" t="str">
            <v>SAR</v>
          </cell>
          <cell r="E624">
            <v>4.337047402578035</v>
          </cell>
          <cell r="F624">
            <v>1.636574</v>
          </cell>
          <cell r="G624" t="str">
            <v>SAUDI ARABIA</v>
          </cell>
          <cell r="H624">
            <v>5</v>
          </cell>
        </row>
        <row r="625">
          <cell r="B625" t="str">
            <v>42521SEK</v>
          </cell>
          <cell r="C625" t="str">
            <v>42521SWEDEN</v>
          </cell>
          <cell r="D625" t="str">
            <v>SEK</v>
          </cell>
          <cell r="E625">
            <v>3.95556669639228</v>
          </cell>
          <cell r="F625">
            <v>1.1690426</v>
          </cell>
          <cell r="G625" t="str">
            <v>SWEDEN</v>
          </cell>
          <cell r="H625">
            <v>4</v>
          </cell>
        </row>
        <row r="626">
          <cell r="B626" t="str">
            <v>42521SGD</v>
          </cell>
          <cell r="C626" t="str">
            <v>42521SINGAPORE</v>
          </cell>
          <cell r="D626" t="str">
            <v>SGD</v>
          </cell>
          <cell r="E626">
            <v>3.6997334185961774</v>
          </cell>
          <cell r="F626">
            <v>0.19877326000000001</v>
          </cell>
          <cell r="G626" t="str">
            <v>SINGAPORE</v>
          </cell>
          <cell r="H626">
            <v>5</v>
          </cell>
        </row>
        <row r="627">
          <cell r="B627" t="str">
            <v>42521TZS</v>
          </cell>
          <cell r="C627" t="str">
            <v>42521TANZANIA, UNITED REPUBLIC OF</v>
          </cell>
          <cell r="D627" t="str">
            <v>TZS</v>
          </cell>
          <cell r="E627">
            <v>7.5254565064652592</v>
          </cell>
          <cell r="F627">
            <v>5.656083333333334</v>
          </cell>
          <cell r="G627" t="str">
            <v>TANZANIA, UNITED REPUBLIC OF</v>
          </cell>
          <cell r="H627">
            <v>5</v>
          </cell>
        </row>
        <row r="628">
          <cell r="B628" t="str">
            <v>42521THB</v>
          </cell>
          <cell r="C628" t="str">
            <v>42521THAILAND</v>
          </cell>
          <cell r="D628" t="str">
            <v>THB</v>
          </cell>
          <cell r="E628">
            <v>3.9363951916817888</v>
          </cell>
          <cell r="F628">
            <v>1.0332599</v>
          </cell>
          <cell r="G628" t="str">
            <v>THAILAND</v>
          </cell>
          <cell r="H628">
            <v>5.7633382269143887</v>
          </cell>
        </row>
        <row r="629">
          <cell r="B629" t="str">
            <v>42521TRY</v>
          </cell>
          <cell r="C629" t="str">
            <v>42521TURKEY</v>
          </cell>
          <cell r="D629" t="str">
            <v>TRY</v>
          </cell>
          <cell r="E629">
            <v>10.122130135132704</v>
          </cell>
          <cell r="F629">
            <v>7.5692396000000004</v>
          </cell>
          <cell r="G629" t="str">
            <v>TURKEY</v>
          </cell>
          <cell r="H629">
            <v>6</v>
          </cell>
        </row>
        <row r="630">
          <cell r="B630" t="str">
            <v>42521TWD</v>
          </cell>
          <cell r="C630" t="str">
            <v>42521TAIWAN</v>
          </cell>
          <cell r="D630" t="str">
            <v>TWD</v>
          </cell>
          <cell r="E630">
            <v>3.5293203653624907</v>
          </cell>
          <cell r="F630">
            <v>1.0847191</v>
          </cell>
          <cell r="G630" t="str">
            <v>TAIWAN</v>
          </cell>
          <cell r="H630">
            <v>5</v>
          </cell>
        </row>
        <row r="631">
          <cell r="B631" t="str">
            <v>42521UAH</v>
          </cell>
          <cell r="C631" t="str">
            <v>42521UKRAINE</v>
          </cell>
          <cell r="D631" t="str">
            <v>UAH</v>
          </cell>
          <cell r="E631">
            <v>11.41857511931315</v>
          </cell>
          <cell r="F631">
            <v>13.927393</v>
          </cell>
          <cell r="G631" t="str">
            <v>UKRAINE</v>
          </cell>
          <cell r="H631">
            <v>5</v>
          </cell>
        </row>
        <row r="632">
          <cell r="B632" t="str">
            <v>42521USD</v>
          </cell>
          <cell r="C632" t="str">
            <v>42521UNITED STATES</v>
          </cell>
          <cell r="D632" t="str">
            <v>USD</v>
          </cell>
          <cell r="E632">
            <v>3.7543520469065319</v>
          </cell>
          <cell r="F632">
            <v>1.636574</v>
          </cell>
          <cell r="G632" t="str">
            <v>UNITED STATES</v>
          </cell>
          <cell r="H632">
            <v>4</v>
          </cell>
        </row>
        <row r="633">
          <cell r="B633" t="str">
            <v>42521VND</v>
          </cell>
          <cell r="C633" t="str">
            <v>42521VIET NAM</v>
          </cell>
          <cell r="D633" t="str">
            <v>VND</v>
          </cell>
          <cell r="E633">
            <v>4.9860376606171855</v>
          </cell>
          <cell r="F633">
            <v>3.4250001999999999</v>
          </cell>
          <cell r="G633" t="str">
            <v>VIET NAM</v>
          </cell>
          <cell r="H633">
            <v>7.213695757978992</v>
          </cell>
        </row>
        <row r="634">
          <cell r="B634" t="str">
            <v>42521ZAR</v>
          </cell>
          <cell r="C634" t="str">
            <v>42521SOUTH AFRICA</v>
          </cell>
          <cell r="D634" t="str">
            <v>ZAR</v>
          </cell>
          <cell r="E634">
            <v>8.1587023123335349</v>
          </cell>
          <cell r="F634">
            <v>6.3269960000000003</v>
          </cell>
          <cell r="G634" t="str">
            <v>SOUTH AFRICA</v>
          </cell>
          <cell r="H634">
            <v>5</v>
          </cell>
        </row>
        <row r="635">
          <cell r="B635" t="str">
            <v>42521EUR1</v>
          </cell>
          <cell r="C635" t="str">
            <v>42521BELGIUM</v>
          </cell>
          <cell r="D635" t="str">
            <v>EUR1</v>
          </cell>
          <cell r="E635">
            <v>3.3352315657809752</v>
          </cell>
          <cell r="G635" t="str">
            <v>BELGIUM</v>
          </cell>
          <cell r="H635">
            <v>4</v>
          </cell>
        </row>
        <row r="636">
          <cell r="B636" t="str">
            <v>42521EUR2</v>
          </cell>
          <cell r="C636" t="str">
            <v>42521CYPRUS</v>
          </cell>
          <cell r="D636" t="str">
            <v>EUR2</v>
          </cell>
          <cell r="E636">
            <v>3.3352315657809752</v>
          </cell>
          <cell r="G636" t="str">
            <v>CYPRUS</v>
          </cell>
          <cell r="H636">
            <v>5</v>
          </cell>
        </row>
        <row r="637">
          <cell r="B637" t="str">
            <v>42521EUR3</v>
          </cell>
          <cell r="C637" t="str">
            <v>42521ESTONIA</v>
          </cell>
          <cell r="D637" t="str">
            <v>EUR3</v>
          </cell>
          <cell r="E637">
            <v>3.3352315657809752</v>
          </cell>
          <cell r="G637" t="str">
            <v>ESTONIA</v>
          </cell>
          <cell r="H637">
            <v>5</v>
          </cell>
        </row>
        <row r="638">
          <cell r="B638" t="str">
            <v>42521EUR4</v>
          </cell>
          <cell r="C638" t="str">
            <v>42521FINLAND</v>
          </cell>
          <cell r="D638" t="str">
            <v>EUR4</v>
          </cell>
          <cell r="E638">
            <v>3.3352315657809752</v>
          </cell>
          <cell r="G638" t="str">
            <v>FINLAND</v>
          </cell>
          <cell r="H638">
            <v>4</v>
          </cell>
        </row>
        <row r="639">
          <cell r="B639" t="str">
            <v>42521EUR5</v>
          </cell>
          <cell r="C639" t="str">
            <v>42521FRANCE</v>
          </cell>
          <cell r="D639" t="str">
            <v>EUR5</v>
          </cell>
          <cell r="E639">
            <v>3.3352315657809752</v>
          </cell>
          <cell r="G639" t="str">
            <v>FRANCE</v>
          </cell>
          <cell r="H639">
            <v>4</v>
          </cell>
        </row>
        <row r="640">
          <cell r="B640" t="str">
            <v>42521EUR6</v>
          </cell>
          <cell r="C640" t="str">
            <v>42521GERMANY</v>
          </cell>
          <cell r="D640" t="str">
            <v>EUR6</v>
          </cell>
          <cell r="E640">
            <v>3.3352315657809752</v>
          </cell>
          <cell r="G640" t="str">
            <v>GERMANY</v>
          </cell>
          <cell r="H640">
            <v>4.2730587794838035</v>
          </cell>
        </row>
        <row r="641">
          <cell r="B641" t="str">
            <v>42521EUR7</v>
          </cell>
          <cell r="C641" t="str">
            <v>42521GREECE</v>
          </cell>
          <cell r="D641" t="str">
            <v>EUR7</v>
          </cell>
          <cell r="E641">
            <v>3.3352315657809752</v>
          </cell>
          <cell r="G641" t="str">
            <v>GREECE</v>
          </cell>
          <cell r="H641">
            <v>10</v>
          </cell>
        </row>
        <row r="642">
          <cell r="B642" t="str">
            <v>42521EUR8</v>
          </cell>
          <cell r="C642" t="str">
            <v>42521IRELAND</v>
          </cell>
          <cell r="D642" t="str">
            <v>EUR8</v>
          </cell>
          <cell r="E642">
            <v>3.3352315657809752</v>
          </cell>
          <cell r="G642" t="str">
            <v>IRELAND</v>
          </cell>
          <cell r="H642">
            <v>4</v>
          </cell>
        </row>
        <row r="643">
          <cell r="B643" t="str">
            <v>42521EUR9</v>
          </cell>
          <cell r="C643" t="str">
            <v>42521ITALY</v>
          </cell>
          <cell r="D643" t="str">
            <v>EUR9</v>
          </cell>
          <cell r="E643">
            <v>3.3352315657809752</v>
          </cell>
          <cell r="G643" t="str">
            <v>ITALY</v>
          </cell>
          <cell r="H643">
            <v>4</v>
          </cell>
        </row>
        <row r="644">
          <cell r="B644" t="str">
            <v>42521EUR10</v>
          </cell>
          <cell r="C644" t="str">
            <v>42521LATVIA</v>
          </cell>
          <cell r="D644" t="str">
            <v>EUR10</v>
          </cell>
          <cell r="E644">
            <v>3.3352315657809752</v>
          </cell>
          <cell r="G644" t="str">
            <v>LATVIA</v>
          </cell>
          <cell r="H644">
            <v>5</v>
          </cell>
        </row>
        <row r="645">
          <cell r="B645" t="str">
            <v>42521EUR11</v>
          </cell>
          <cell r="C645" t="str">
            <v>42521LUXEMBOURG</v>
          </cell>
          <cell r="D645" t="str">
            <v>EUR11</v>
          </cell>
          <cell r="E645">
            <v>3.3352315657809752</v>
          </cell>
          <cell r="G645" t="str">
            <v>LUXEMBOURG</v>
          </cell>
          <cell r="H645">
            <v>4</v>
          </cell>
        </row>
        <row r="646">
          <cell r="B646" t="str">
            <v>42521EUR12</v>
          </cell>
          <cell r="C646" t="str">
            <v>42521MALTA</v>
          </cell>
          <cell r="D646" t="str">
            <v>EUR12</v>
          </cell>
          <cell r="E646">
            <v>3.3352315657809752</v>
          </cell>
          <cell r="G646" t="str">
            <v>MALTA</v>
          </cell>
          <cell r="H646">
            <v>5</v>
          </cell>
        </row>
        <row r="647">
          <cell r="B647" t="str">
            <v>42521EUR13</v>
          </cell>
          <cell r="C647" t="str">
            <v>42521MONTENEGRO</v>
          </cell>
          <cell r="D647" t="str">
            <v>EUR13</v>
          </cell>
          <cell r="E647">
            <v>3.3352315657809752</v>
          </cell>
          <cell r="G647" t="str">
            <v>MONTENEGRO</v>
          </cell>
          <cell r="H647">
            <v>5</v>
          </cell>
        </row>
        <row r="648">
          <cell r="B648" t="str">
            <v>42521EUR14</v>
          </cell>
          <cell r="C648" t="str">
            <v>42521NETHERLANDS</v>
          </cell>
          <cell r="D648" t="str">
            <v>EUR14</v>
          </cell>
          <cell r="E648">
            <v>3.3352315657809752</v>
          </cell>
          <cell r="G648" t="str">
            <v>NETHERLANDS</v>
          </cell>
          <cell r="H648">
            <v>4</v>
          </cell>
        </row>
        <row r="649">
          <cell r="B649" t="str">
            <v>42521EUR15</v>
          </cell>
          <cell r="C649" t="str">
            <v>42521PORTUGAL</v>
          </cell>
          <cell r="D649" t="str">
            <v>EUR15</v>
          </cell>
          <cell r="E649">
            <v>3.3352315657809752</v>
          </cell>
          <cell r="G649" t="str">
            <v>PORTUGAL</v>
          </cell>
          <cell r="H649">
            <v>4</v>
          </cell>
        </row>
        <row r="650">
          <cell r="B650" t="str">
            <v>42521EUR16</v>
          </cell>
          <cell r="C650" t="str">
            <v>42521SLOVAKIA</v>
          </cell>
          <cell r="D650" t="str">
            <v>EUR16</v>
          </cell>
          <cell r="E650">
            <v>3.3352315657809752</v>
          </cell>
          <cell r="G650" t="str">
            <v>SLOVAKIA</v>
          </cell>
          <cell r="H650">
            <v>5</v>
          </cell>
        </row>
        <row r="651">
          <cell r="B651" t="str">
            <v>42521EUR17</v>
          </cell>
          <cell r="C651" t="str">
            <v>42521SLOVENIA</v>
          </cell>
          <cell r="D651" t="str">
            <v>EUR17</v>
          </cell>
          <cell r="E651">
            <v>3.3352315657809752</v>
          </cell>
          <cell r="G651" t="str">
            <v>SLOVENIA</v>
          </cell>
          <cell r="H651">
            <v>5</v>
          </cell>
        </row>
        <row r="652">
          <cell r="B652" t="str">
            <v>42521EUR18</v>
          </cell>
          <cell r="C652" t="str">
            <v>42521SPAIN</v>
          </cell>
          <cell r="D652" t="str">
            <v>EUR18</v>
          </cell>
          <cell r="E652">
            <v>3.3352315657809752</v>
          </cell>
          <cell r="G652" t="str">
            <v>SPAIN</v>
          </cell>
          <cell r="H652">
            <v>4</v>
          </cell>
        </row>
        <row r="653">
          <cell r="B653" t="str">
            <v>42521Eastern European Institutions</v>
          </cell>
          <cell r="C653" t="str">
            <v>42521Eastern European Institutions</v>
          </cell>
          <cell r="D653" t="str">
            <v>Eastern European Institutions</v>
          </cell>
          <cell r="E653">
            <v>2.25</v>
          </cell>
          <cell r="G653" t="str">
            <v>Eastern European Institutions</v>
          </cell>
          <cell r="H653">
            <v>5</v>
          </cell>
        </row>
        <row r="654">
          <cell r="B654" t="str">
            <v>42551AED</v>
          </cell>
          <cell r="C654" t="str">
            <v>42551U. A. E.</v>
          </cell>
          <cell r="D654" t="str">
            <v>AED</v>
          </cell>
          <cell r="E654">
            <v>5.3453380422483523</v>
          </cell>
          <cell r="F654">
            <v>1.8078479999999999</v>
          </cell>
          <cell r="G654" t="str">
            <v>U. A. E.</v>
          </cell>
          <cell r="H654">
            <v>5</v>
          </cell>
        </row>
        <row r="655">
          <cell r="B655" t="str">
            <v>42551ARS</v>
          </cell>
          <cell r="C655" t="str">
            <v>42551ARGENTINA</v>
          </cell>
          <cell r="D655" t="str">
            <v>ARS</v>
          </cell>
          <cell r="E655">
            <v>19.107526406875035</v>
          </cell>
          <cell r="F655">
            <v>29.181877</v>
          </cell>
          <cell r="G655" t="str">
            <v>ARGENTINA</v>
          </cell>
          <cell r="H655">
            <v>5</v>
          </cell>
        </row>
        <row r="656">
          <cell r="B656" t="str">
            <v>42551AUD</v>
          </cell>
          <cell r="C656" t="str">
            <v>42551AUSTRALIA</v>
          </cell>
          <cell r="D656" t="str">
            <v>AUD</v>
          </cell>
          <cell r="E656">
            <v>4.6412929023544471</v>
          </cell>
          <cell r="F656">
            <v>1.8609952999999999</v>
          </cell>
          <cell r="G656" t="str">
            <v>AUSTRALIA</v>
          </cell>
          <cell r="H656">
            <v>4.7278011559491251</v>
          </cell>
        </row>
        <row r="657">
          <cell r="B657" t="str">
            <v>42551BDT</v>
          </cell>
          <cell r="C657" t="str">
            <v>42551BANGLADESH</v>
          </cell>
          <cell r="D657" t="str">
            <v>BDT</v>
          </cell>
          <cell r="E657">
            <v>8.7282761424205138</v>
          </cell>
          <cell r="F657">
            <v>6.1</v>
          </cell>
          <cell r="G657" t="str">
            <v>BANGLADESH</v>
          </cell>
          <cell r="H657">
            <v>5</v>
          </cell>
        </row>
        <row r="658">
          <cell r="B658" t="str">
            <v>42551BRL</v>
          </cell>
          <cell r="C658" t="str">
            <v>42551BRAZIL</v>
          </cell>
          <cell r="D658" t="str">
            <v>BRL</v>
          </cell>
          <cell r="E658">
            <v>8.3315082513534957</v>
          </cell>
          <cell r="F658">
            <v>6.2558249999999997</v>
          </cell>
          <cell r="G658" t="str">
            <v>BRAZIL</v>
          </cell>
          <cell r="H658">
            <v>6</v>
          </cell>
        </row>
        <row r="659">
          <cell r="B659" t="str">
            <v>42551BWP</v>
          </cell>
          <cell r="C659" t="str">
            <v>42551BOTSWANA</v>
          </cell>
          <cell r="D659" t="str">
            <v>BWP</v>
          </cell>
          <cell r="E659">
            <v>6.1094488488926215</v>
          </cell>
          <cell r="F659">
            <v>3.4750000000000001</v>
          </cell>
          <cell r="G659" t="str">
            <v>BOTSWANA</v>
          </cell>
          <cell r="H659">
            <v>5</v>
          </cell>
        </row>
        <row r="660">
          <cell r="B660" t="str">
            <v>42551CAD</v>
          </cell>
          <cell r="C660" t="str">
            <v>42551CANADA</v>
          </cell>
          <cell r="D660" t="str">
            <v>CAD</v>
          </cell>
          <cell r="E660">
            <v>4.0966815822429039</v>
          </cell>
          <cell r="F660">
            <v>1.8510149</v>
          </cell>
          <cell r="G660" t="str">
            <v>CANADA</v>
          </cell>
          <cell r="H660">
            <v>4</v>
          </cell>
        </row>
        <row r="661">
          <cell r="B661" t="str">
            <v>42551CHF</v>
          </cell>
          <cell r="C661" t="str">
            <v>42551SWITZERLAND</v>
          </cell>
          <cell r="D661" t="str">
            <v>CHF</v>
          </cell>
          <cell r="E661">
            <v>2.6195261958107432</v>
          </cell>
          <cell r="F661">
            <v>-0.11425091</v>
          </cell>
          <cell r="G661" t="str">
            <v>SWITZERLAND</v>
          </cell>
          <cell r="H661">
            <v>4</v>
          </cell>
        </row>
        <row r="662">
          <cell r="B662" t="str">
            <v>42551CLP</v>
          </cell>
          <cell r="C662" t="str">
            <v>42551CHILE</v>
          </cell>
          <cell r="D662" t="str">
            <v>CLP</v>
          </cell>
          <cell r="E662">
            <v>5.4691179143838733</v>
          </cell>
          <cell r="F662">
            <v>3.2891788000000002</v>
          </cell>
          <cell r="G662" t="str">
            <v>CHILE</v>
          </cell>
          <cell r="H662">
            <v>5</v>
          </cell>
        </row>
        <row r="663">
          <cell r="B663" t="str">
            <v>42551CNY</v>
          </cell>
          <cell r="C663" t="str">
            <v>42551CHINA</v>
          </cell>
          <cell r="D663" t="str">
            <v>CNY</v>
          </cell>
          <cell r="E663">
            <v>4.5690940583035724</v>
          </cell>
          <cell r="F663">
            <v>1.8721724</v>
          </cell>
          <cell r="G663" t="str">
            <v>CHINA</v>
          </cell>
          <cell r="H663">
            <v>5</v>
          </cell>
        </row>
        <row r="664">
          <cell r="B664" t="str">
            <v>42551COP</v>
          </cell>
          <cell r="C664" t="str">
            <v>42551COLOMBIA</v>
          </cell>
          <cell r="D664" t="str">
            <v>COP</v>
          </cell>
          <cell r="E664">
            <v>6.1921648305771662</v>
          </cell>
          <cell r="F664">
            <v>4.8500404000000001</v>
          </cell>
          <cell r="G664" t="str">
            <v>COLOMBIA</v>
          </cell>
          <cell r="H664">
            <v>5</v>
          </cell>
        </row>
        <row r="665">
          <cell r="B665" t="str">
            <v>42551CZK</v>
          </cell>
          <cell r="C665" t="str">
            <v>42551CZECH REPUBLIC</v>
          </cell>
          <cell r="D665" t="str">
            <v>CZK</v>
          </cell>
          <cell r="E665">
            <v>4.0937457684019609</v>
          </cell>
          <cell r="F665">
            <v>1.2084718000000001</v>
          </cell>
          <cell r="G665" t="str">
            <v>CZECH REPUBLIC</v>
          </cell>
          <cell r="H665">
            <v>5</v>
          </cell>
        </row>
        <row r="666">
          <cell r="B666" t="str">
            <v>42551DKK</v>
          </cell>
          <cell r="C666" t="str">
            <v>42551DENMARK</v>
          </cell>
          <cell r="D666" t="str">
            <v>DKK</v>
          </cell>
          <cell r="E666">
            <v>3.8290055275646475</v>
          </cell>
          <cell r="F666">
            <v>1.1258330000000001</v>
          </cell>
          <cell r="G666" t="str">
            <v>DENMARK</v>
          </cell>
          <cell r="H666">
            <v>4</v>
          </cell>
        </row>
        <row r="667">
          <cell r="B667" t="str">
            <v>42551EGP</v>
          </cell>
          <cell r="C667" t="str">
            <v>42551EGYPT</v>
          </cell>
          <cell r="D667" t="str">
            <v>EGP</v>
          </cell>
          <cell r="E667">
            <v>10.752482653679188</v>
          </cell>
          <cell r="F667">
            <v>10.990524000000001</v>
          </cell>
          <cell r="G667" t="str">
            <v>EGYPT</v>
          </cell>
          <cell r="H667">
            <v>6</v>
          </cell>
        </row>
        <row r="668">
          <cell r="B668" t="str">
            <v>42551EUR</v>
          </cell>
          <cell r="C668" t="str">
            <v>42551AUSTRIA</v>
          </cell>
          <cell r="D668" t="str">
            <v>EUR</v>
          </cell>
          <cell r="E668">
            <v>3.3352315657809752</v>
          </cell>
          <cell r="F668">
            <v>0.78922235000000007</v>
          </cell>
          <cell r="G668" t="str">
            <v>AUSTRIA</v>
          </cell>
          <cell r="H668">
            <v>4</v>
          </cell>
        </row>
        <row r="669">
          <cell r="B669" t="str">
            <v>42551GBP</v>
          </cell>
          <cell r="C669" t="str">
            <v>42551UNITED KINGDOM</v>
          </cell>
          <cell r="D669" t="str">
            <v>GBP</v>
          </cell>
          <cell r="E669">
            <v>3.9790644837374192</v>
          </cell>
          <cell r="F669">
            <v>1.1435697</v>
          </cell>
          <cell r="G669" t="str">
            <v>UNITED KINGDOM</v>
          </cell>
          <cell r="H669">
            <v>4</v>
          </cell>
        </row>
        <row r="670">
          <cell r="B670" t="str">
            <v>42551GEL</v>
          </cell>
          <cell r="C670" t="str">
            <v>42551GEORGIA</v>
          </cell>
          <cell r="D670" t="str">
            <v>GEL</v>
          </cell>
          <cell r="E670">
            <v>5.910453326152191</v>
          </cell>
          <cell r="F670">
            <v>4.4060000000000006</v>
          </cell>
          <cell r="G670" t="str">
            <v>GEORGIA</v>
          </cell>
          <cell r="H670">
            <v>5</v>
          </cell>
        </row>
        <row r="671">
          <cell r="B671" t="str">
            <v>42551HKD</v>
          </cell>
          <cell r="C671" t="str">
            <v>42551HONG KONG</v>
          </cell>
          <cell r="D671" t="str">
            <v>HKD</v>
          </cell>
          <cell r="E671">
            <v>4.9499026289057593</v>
          </cell>
          <cell r="F671">
            <v>1.8078479999999999</v>
          </cell>
          <cell r="G671" t="str">
            <v>HONG KONG</v>
          </cell>
          <cell r="H671">
            <v>4.1191914293978131</v>
          </cell>
        </row>
        <row r="672">
          <cell r="B672" t="str">
            <v>42551GHS</v>
          </cell>
          <cell r="C672" t="str">
            <v>42551GHANA</v>
          </cell>
          <cell r="D672" t="str">
            <v>GHS</v>
          </cell>
          <cell r="E672">
            <v>10.805142402828974</v>
          </cell>
          <cell r="F672">
            <v>11.710749999999999</v>
          </cell>
          <cell r="G672" t="str">
            <v>GHANA</v>
          </cell>
          <cell r="H672">
            <v>5</v>
          </cell>
        </row>
        <row r="673">
          <cell r="B673" t="str">
            <v>42551HRK</v>
          </cell>
          <cell r="C673" t="str">
            <v>42551CROATIA</v>
          </cell>
          <cell r="D673" t="str">
            <v>HRK</v>
          </cell>
          <cell r="E673">
            <v>3.7135338084439065</v>
          </cell>
          <cell r="F673">
            <v>0.86299999999999999</v>
          </cell>
          <cell r="G673" t="str">
            <v>CROATIA</v>
          </cell>
          <cell r="H673">
            <v>5</v>
          </cell>
        </row>
        <row r="674">
          <cell r="B674" t="str">
            <v>42551HUF</v>
          </cell>
          <cell r="C674" t="str">
            <v>42551HUNGARY</v>
          </cell>
          <cell r="D674" t="str">
            <v>HUF</v>
          </cell>
          <cell r="E674">
            <v>4.5059285274373009</v>
          </cell>
          <cell r="F674">
            <v>1.2432188</v>
          </cell>
          <cell r="G674" t="str">
            <v>HUNGARY</v>
          </cell>
          <cell r="H674">
            <v>5</v>
          </cell>
        </row>
        <row r="675">
          <cell r="B675" t="str">
            <v>42551IDR</v>
          </cell>
          <cell r="C675" t="str">
            <v>42551INDONESIA</v>
          </cell>
          <cell r="D675" t="str">
            <v>IDR</v>
          </cell>
          <cell r="E675">
            <v>6.5665248781261489</v>
          </cell>
          <cell r="F675">
            <v>4.3704190000000001</v>
          </cell>
          <cell r="G675" t="str">
            <v>INDONESIA</v>
          </cell>
          <cell r="H675">
            <v>5</v>
          </cell>
        </row>
        <row r="676">
          <cell r="B676" t="str">
            <v>42551ILS</v>
          </cell>
          <cell r="C676" t="str">
            <v>42551ISRAEL</v>
          </cell>
          <cell r="D676" t="str">
            <v>ILS</v>
          </cell>
          <cell r="E676">
            <v>3.5188753800549346</v>
          </cell>
          <cell r="F676">
            <v>0.77768809999999999</v>
          </cell>
          <cell r="G676" t="str">
            <v>ISRAEL</v>
          </cell>
          <cell r="H676">
            <v>4</v>
          </cell>
        </row>
        <row r="677">
          <cell r="B677" t="str">
            <v>42551INR</v>
          </cell>
          <cell r="C677" t="str">
            <v>42551INDIA</v>
          </cell>
          <cell r="D677" t="str">
            <v>INR</v>
          </cell>
          <cell r="E677">
            <v>7.5524751613458765</v>
          </cell>
          <cell r="F677">
            <v>5.0808077000000003</v>
          </cell>
          <cell r="G677" t="str">
            <v>INDIA</v>
          </cell>
          <cell r="H677">
            <v>5</v>
          </cell>
        </row>
        <row r="678">
          <cell r="B678" t="str">
            <v>42551IQD</v>
          </cell>
          <cell r="C678" t="str">
            <v>42551IRAQ</v>
          </cell>
          <cell r="D678" t="str">
            <v>IQD</v>
          </cell>
          <cell r="E678">
            <v>4.2500000000000018</v>
          </cell>
          <cell r="F678">
            <v>2</v>
          </cell>
          <cell r="G678" t="str">
            <v>IRAQ</v>
          </cell>
          <cell r="H678">
            <v>5</v>
          </cell>
        </row>
        <row r="679">
          <cell r="B679" t="str">
            <v>42551JPY</v>
          </cell>
          <cell r="C679" t="str">
            <v>42551JAPAN</v>
          </cell>
          <cell r="D679" t="str">
            <v>JPY</v>
          </cell>
          <cell r="E679">
            <v>3.0365726764600511</v>
          </cell>
          <cell r="F679">
            <v>0.40418562000000002</v>
          </cell>
          <cell r="G679" t="str">
            <v>JAPAN</v>
          </cell>
          <cell r="H679">
            <v>4</v>
          </cell>
        </row>
        <row r="680">
          <cell r="B680" t="str">
            <v>42551KES</v>
          </cell>
          <cell r="C680" t="str">
            <v>42551KENYA</v>
          </cell>
          <cell r="D680" t="str">
            <v>KES</v>
          </cell>
          <cell r="E680">
            <v>7.7087896811692405</v>
          </cell>
          <cell r="F680">
            <v>6.1180000000000003</v>
          </cell>
          <cell r="G680" t="str">
            <v>KENYA</v>
          </cell>
          <cell r="H680">
            <v>5</v>
          </cell>
        </row>
        <row r="681">
          <cell r="B681" t="str">
            <v>42551KHR</v>
          </cell>
          <cell r="C681" t="str">
            <v>42551CAMBODIA</v>
          </cell>
          <cell r="D681" t="str">
            <v>KHR</v>
          </cell>
          <cell r="E681">
            <v>5.0607390049122216</v>
          </cell>
          <cell r="F681">
            <v>2.4744999999999999</v>
          </cell>
          <cell r="G681" t="str">
            <v>CAMBODIA</v>
          </cell>
          <cell r="H681">
            <v>5</v>
          </cell>
        </row>
        <row r="682">
          <cell r="B682" t="str">
            <v>42551KRW</v>
          </cell>
          <cell r="C682" t="str">
            <v>42551KOREA SOUTH(REPUBLIC OF KOREA)</v>
          </cell>
          <cell r="D682" t="str">
            <v>KRW</v>
          </cell>
          <cell r="E682">
            <v>4.1596838783537295</v>
          </cell>
          <cell r="F682">
            <v>1.4471592</v>
          </cell>
          <cell r="G682" t="str">
            <v>KOREA SOUTH(REPUBLIC OF KOREA)</v>
          </cell>
          <cell r="H682">
            <v>5</v>
          </cell>
        </row>
        <row r="683">
          <cell r="B683" t="str">
            <v>42551KWD</v>
          </cell>
          <cell r="C683" t="str">
            <v>42551KUWAIT</v>
          </cell>
          <cell r="D683" t="str">
            <v>KWD</v>
          </cell>
          <cell r="E683">
            <v>5.7499806763212904</v>
          </cell>
          <cell r="F683">
            <v>3.45</v>
          </cell>
          <cell r="G683" t="str">
            <v>KUWAIT</v>
          </cell>
          <cell r="H683">
            <v>5</v>
          </cell>
        </row>
        <row r="684">
          <cell r="B684" t="str">
            <v>42551LKR</v>
          </cell>
          <cell r="C684" t="str">
            <v>42551SRI LANKA</v>
          </cell>
          <cell r="D684" t="str">
            <v>LKR</v>
          </cell>
          <cell r="E684">
            <v>6.8375902073245989</v>
          </cell>
          <cell r="F684">
            <v>4.3499999999999996</v>
          </cell>
          <cell r="G684" t="str">
            <v>SRI LANKA</v>
          </cell>
          <cell r="H684">
            <v>5</v>
          </cell>
        </row>
        <row r="685">
          <cell r="B685" t="str">
            <v>42551KZT</v>
          </cell>
          <cell r="C685" t="str">
            <v>42551KAZAKHSTAN</v>
          </cell>
          <cell r="D685" t="str">
            <v>KZT</v>
          </cell>
          <cell r="E685">
            <v>11.702472282512669</v>
          </cell>
          <cell r="F685">
            <v>11.170999999999999</v>
          </cell>
          <cell r="G685" t="str">
            <v>KAZAKHSTAN</v>
          </cell>
          <cell r="H685">
            <v>5</v>
          </cell>
        </row>
        <row r="686">
          <cell r="B686" t="str">
            <v>42551MAD</v>
          </cell>
          <cell r="C686" t="str">
            <v>42551MOROCCO</v>
          </cell>
          <cell r="D686" t="str">
            <v>MAD</v>
          </cell>
          <cell r="E686">
            <v>4.1498033428810901</v>
          </cell>
          <cell r="F686">
            <v>1.75</v>
          </cell>
          <cell r="G686" t="str">
            <v>MOROCCO</v>
          </cell>
          <cell r="H686">
            <v>5</v>
          </cell>
        </row>
        <row r="687">
          <cell r="B687" t="str">
            <v>42551MXN</v>
          </cell>
          <cell r="C687" t="str">
            <v>42551MEXICO</v>
          </cell>
          <cell r="D687" t="str">
            <v>MXN</v>
          </cell>
          <cell r="E687">
            <v>5.2343901670048023</v>
          </cell>
          <cell r="F687">
            <v>3.2861037</v>
          </cell>
          <cell r="G687" t="str">
            <v>MEXICO</v>
          </cell>
          <cell r="H687">
            <v>5</v>
          </cell>
        </row>
        <row r="688">
          <cell r="B688" t="str">
            <v>42551MYR</v>
          </cell>
          <cell r="C688" t="str">
            <v>42551MALAYSIA</v>
          </cell>
          <cell r="D688" t="str">
            <v>MYR</v>
          </cell>
          <cell r="E688">
            <v>5.2525698562266889</v>
          </cell>
          <cell r="F688">
            <v>2.5871167000000002</v>
          </cell>
          <cell r="G688" t="str">
            <v>MALAYSIA</v>
          </cell>
          <cell r="H688">
            <v>5</v>
          </cell>
        </row>
        <row r="689">
          <cell r="B689" t="str">
            <v>42551NGN</v>
          </cell>
          <cell r="C689" t="str">
            <v>42551NIGERIA</v>
          </cell>
          <cell r="D689" t="str">
            <v>NGN</v>
          </cell>
          <cell r="E689">
            <v>13.288855732504228</v>
          </cell>
          <cell r="F689">
            <v>11.974043</v>
          </cell>
          <cell r="G689" t="str">
            <v>NIGERIA</v>
          </cell>
          <cell r="H689">
            <v>6</v>
          </cell>
        </row>
        <row r="690">
          <cell r="B690" t="str">
            <v>42551NOK</v>
          </cell>
          <cell r="C690" t="str">
            <v>42551NORWAY</v>
          </cell>
          <cell r="D690" t="str">
            <v>NOK</v>
          </cell>
          <cell r="E690">
            <v>4.8099298792005287</v>
          </cell>
          <cell r="F690">
            <v>2.4836697999999999</v>
          </cell>
          <cell r="G690" t="str">
            <v>NORWAY</v>
          </cell>
          <cell r="H690">
            <v>4</v>
          </cell>
        </row>
        <row r="691">
          <cell r="B691" t="str">
            <v>42551NZD</v>
          </cell>
          <cell r="C691" t="str">
            <v>42551NEW ZEALAND</v>
          </cell>
          <cell r="D691" t="str">
            <v>NZD</v>
          </cell>
          <cell r="E691">
            <v>4.1218182331383115</v>
          </cell>
          <cell r="F691">
            <v>1.1917747999999999</v>
          </cell>
          <cell r="G691" t="str">
            <v>NEW ZEALAND</v>
          </cell>
          <cell r="H691">
            <v>5.2472758251652607</v>
          </cell>
        </row>
        <row r="692">
          <cell r="B692" t="str">
            <v>42551OMR</v>
          </cell>
          <cell r="C692" t="str">
            <v>42551OMAN</v>
          </cell>
          <cell r="D692" t="str">
            <v>OMR</v>
          </cell>
          <cell r="E692">
            <v>4.5676919352295267</v>
          </cell>
          <cell r="F692">
            <v>1.8078479999999999</v>
          </cell>
          <cell r="G692" t="str">
            <v>OMAN</v>
          </cell>
          <cell r="H692">
            <v>5</v>
          </cell>
        </row>
        <row r="693">
          <cell r="B693" t="str">
            <v>42551PEN</v>
          </cell>
          <cell r="C693" t="str">
            <v>42551PERU</v>
          </cell>
          <cell r="D693" t="str">
            <v>PEN</v>
          </cell>
          <cell r="E693">
            <v>4.8597231110706831</v>
          </cell>
          <cell r="F693">
            <v>2.9889956</v>
          </cell>
          <cell r="G693" t="str">
            <v>PERU</v>
          </cell>
          <cell r="H693">
            <v>5</v>
          </cell>
        </row>
        <row r="694">
          <cell r="B694" t="str">
            <v>42551PHP</v>
          </cell>
          <cell r="C694" t="str">
            <v>42551PHILIPPINES</v>
          </cell>
          <cell r="D694" t="str">
            <v>PHP</v>
          </cell>
          <cell r="E694">
            <v>5.4239029788509177</v>
          </cell>
          <cell r="F694">
            <v>2.3836246000000001</v>
          </cell>
          <cell r="G694" t="str">
            <v>PHILIPPINES</v>
          </cell>
          <cell r="H694">
            <v>5</v>
          </cell>
        </row>
        <row r="695">
          <cell r="B695" t="str">
            <v>42551PKR</v>
          </cell>
          <cell r="C695" t="str">
            <v>42551PAKISTAN</v>
          </cell>
          <cell r="D695" t="str">
            <v>PKR</v>
          </cell>
          <cell r="E695">
            <v>6.9044641685775101</v>
          </cell>
          <cell r="F695">
            <v>4.6500000000000004</v>
          </cell>
          <cell r="G695" t="str">
            <v>PAKISTAN</v>
          </cell>
          <cell r="H695">
            <v>5</v>
          </cell>
        </row>
        <row r="696">
          <cell r="B696" t="str">
            <v>42551PLN</v>
          </cell>
          <cell r="C696" t="str">
            <v>42551POLAND</v>
          </cell>
          <cell r="D696" t="str">
            <v>PLN</v>
          </cell>
          <cell r="E696">
            <v>3.8412361073600501</v>
          </cell>
          <cell r="F696">
            <v>0.4697982</v>
          </cell>
          <cell r="G696" t="str">
            <v>POLAND</v>
          </cell>
          <cell r="H696">
            <v>5</v>
          </cell>
        </row>
        <row r="697">
          <cell r="B697" t="str">
            <v>42551QAR</v>
          </cell>
          <cell r="C697" t="str">
            <v>42551QATAR</v>
          </cell>
          <cell r="D697" t="str">
            <v>QAR</v>
          </cell>
          <cell r="E697">
            <v>4.8306558369726673</v>
          </cell>
          <cell r="F697">
            <v>1.8078479999999999</v>
          </cell>
          <cell r="G697" t="str">
            <v>QATAR</v>
          </cell>
          <cell r="H697">
            <v>5</v>
          </cell>
        </row>
        <row r="698">
          <cell r="B698" t="str">
            <v>42551RON</v>
          </cell>
          <cell r="C698" t="str">
            <v>42551ROMANIA</v>
          </cell>
          <cell r="D698" t="str">
            <v>RON</v>
          </cell>
          <cell r="E698">
            <v>4.4405714184492275</v>
          </cell>
          <cell r="F698">
            <v>0.69997776</v>
          </cell>
          <cell r="G698" t="str">
            <v>ROMANIA</v>
          </cell>
          <cell r="H698">
            <v>5</v>
          </cell>
        </row>
        <row r="699">
          <cell r="B699" t="str">
            <v>42551RUB</v>
          </cell>
          <cell r="C699" t="str">
            <v>42551RUSSIAN FEDERATION</v>
          </cell>
          <cell r="D699" t="str">
            <v>RUB</v>
          </cell>
          <cell r="E699">
            <v>7.8008643879939701</v>
          </cell>
          <cell r="F699">
            <v>6.0862449999999999</v>
          </cell>
          <cell r="G699" t="str">
            <v>RUSSIAN FEDERATION</v>
          </cell>
          <cell r="H699">
            <v>5</v>
          </cell>
        </row>
        <row r="700">
          <cell r="B700" t="str">
            <v>42551SAR</v>
          </cell>
          <cell r="C700" t="str">
            <v>42551SAUDI ARABIA</v>
          </cell>
          <cell r="D700" t="str">
            <v>SAR</v>
          </cell>
          <cell r="E700">
            <v>4.337047402578035</v>
          </cell>
          <cell r="F700">
            <v>1.8078479999999999</v>
          </cell>
          <cell r="G700" t="str">
            <v>SAUDI ARABIA</v>
          </cell>
          <cell r="H700">
            <v>5</v>
          </cell>
        </row>
        <row r="701">
          <cell r="B701" t="str">
            <v>42551SEK</v>
          </cell>
          <cell r="C701" t="str">
            <v>42551SWEDEN</v>
          </cell>
          <cell r="D701" t="str">
            <v>SEK</v>
          </cell>
          <cell r="E701">
            <v>3.95556669639228</v>
          </cell>
          <cell r="F701">
            <v>1.2082337000000001</v>
          </cell>
          <cell r="G701" t="str">
            <v>SWEDEN</v>
          </cell>
          <cell r="H701">
            <v>4</v>
          </cell>
        </row>
        <row r="702">
          <cell r="B702" t="str">
            <v>42551SGD</v>
          </cell>
          <cell r="C702" t="str">
            <v>42551SINGAPORE</v>
          </cell>
          <cell r="D702" t="str">
            <v>SGD</v>
          </cell>
          <cell r="E702">
            <v>3.6997334185961774</v>
          </cell>
          <cell r="F702">
            <v>0.31680560000000002</v>
          </cell>
          <cell r="G702" t="str">
            <v>SINGAPORE</v>
          </cell>
          <cell r="H702">
            <v>5</v>
          </cell>
        </row>
        <row r="703">
          <cell r="B703" t="str">
            <v>42551TZS</v>
          </cell>
          <cell r="C703" t="str">
            <v>42551TANZANIA, UNITED REPUBLIC OF</v>
          </cell>
          <cell r="D703" t="str">
            <v>TZS</v>
          </cell>
          <cell r="E703">
            <v>7.5254565064652592</v>
          </cell>
          <cell r="F703">
            <v>5.5735000000000001</v>
          </cell>
          <cell r="G703" t="str">
            <v>TANZANIA, UNITED REPUBLIC OF</v>
          </cell>
          <cell r="H703">
            <v>5</v>
          </cell>
        </row>
        <row r="704">
          <cell r="B704" t="str">
            <v>42551THB</v>
          </cell>
          <cell r="C704" t="str">
            <v>42551THAILAND</v>
          </cell>
          <cell r="D704" t="str">
            <v>THB</v>
          </cell>
          <cell r="E704">
            <v>3.9363951916817888</v>
          </cell>
          <cell r="F704">
            <v>1.2164258999999999</v>
          </cell>
          <cell r="G704" t="str">
            <v>THAILAND</v>
          </cell>
          <cell r="H704">
            <v>5.7633382269143887</v>
          </cell>
        </row>
        <row r="705">
          <cell r="B705" t="str">
            <v>42551TRY</v>
          </cell>
          <cell r="C705" t="str">
            <v>42551TURKEY</v>
          </cell>
          <cell r="D705" t="str">
            <v>TRY</v>
          </cell>
          <cell r="E705">
            <v>10.122130135132704</v>
          </cell>
          <cell r="F705">
            <v>7.5777299999999999</v>
          </cell>
          <cell r="G705" t="str">
            <v>TURKEY</v>
          </cell>
          <cell r="H705">
            <v>6</v>
          </cell>
        </row>
        <row r="706">
          <cell r="B706" t="str">
            <v>42551TWD</v>
          </cell>
          <cell r="C706" t="str">
            <v>42551TAIWAN</v>
          </cell>
          <cell r="D706" t="str">
            <v>TWD</v>
          </cell>
          <cell r="E706">
            <v>3.5293203653624907</v>
          </cell>
          <cell r="F706">
            <v>1.1778321</v>
          </cell>
          <cell r="G706" t="str">
            <v>TAIWAN</v>
          </cell>
          <cell r="H706">
            <v>5</v>
          </cell>
        </row>
        <row r="707">
          <cell r="B707" t="str">
            <v>42551UAH</v>
          </cell>
          <cell r="C707" t="str">
            <v>42551UKRAINE</v>
          </cell>
          <cell r="D707" t="str">
            <v>UAH</v>
          </cell>
          <cell r="E707">
            <v>11.41857511931315</v>
          </cell>
          <cell r="F707">
            <v>12.889685</v>
          </cell>
          <cell r="G707" t="str">
            <v>UKRAINE</v>
          </cell>
          <cell r="H707">
            <v>5</v>
          </cell>
        </row>
        <row r="708">
          <cell r="B708" t="str">
            <v>42551USD</v>
          </cell>
          <cell r="C708" t="str">
            <v>42551UNITED STATES</v>
          </cell>
          <cell r="D708" t="str">
            <v>USD</v>
          </cell>
          <cell r="E708">
            <v>3.7543520469065319</v>
          </cell>
          <cell r="F708">
            <v>1.8078479999999999</v>
          </cell>
          <cell r="G708" t="str">
            <v>UNITED STATES</v>
          </cell>
          <cell r="H708">
            <v>4</v>
          </cell>
        </row>
        <row r="709">
          <cell r="B709" t="str">
            <v>42551VND</v>
          </cell>
          <cell r="C709" t="str">
            <v>42551VIET NAM</v>
          </cell>
          <cell r="D709" t="str">
            <v>VND</v>
          </cell>
          <cell r="E709">
            <v>4.9860376606171855</v>
          </cell>
          <cell r="F709">
            <v>3.3999999000000001</v>
          </cell>
          <cell r="G709" t="str">
            <v>VIET NAM</v>
          </cell>
          <cell r="H709">
            <v>7.213695757978992</v>
          </cell>
        </row>
        <row r="710">
          <cell r="B710" t="str">
            <v>42551ZAR</v>
          </cell>
          <cell r="C710" t="str">
            <v>42551SOUTH AFRICA</v>
          </cell>
          <cell r="D710" t="str">
            <v>ZAR</v>
          </cell>
          <cell r="E710">
            <v>8.1587023123335349</v>
          </cell>
          <cell r="F710">
            <v>6.2774660000000004</v>
          </cell>
          <cell r="G710" t="str">
            <v>SOUTH AFRICA</v>
          </cell>
          <cell r="H710">
            <v>5</v>
          </cell>
        </row>
        <row r="711">
          <cell r="B711" t="str">
            <v>42551EUR1</v>
          </cell>
          <cell r="C711" t="str">
            <v>42551BELGIUM</v>
          </cell>
          <cell r="D711" t="str">
            <v>EUR1</v>
          </cell>
          <cell r="E711">
            <v>3.3352315657809752</v>
          </cell>
          <cell r="G711" t="str">
            <v>BELGIUM</v>
          </cell>
          <cell r="H711">
            <v>4</v>
          </cell>
        </row>
        <row r="712">
          <cell r="B712" t="str">
            <v>42551EUR2</v>
          </cell>
          <cell r="C712" t="str">
            <v>42551CYPRUS</v>
          </cell>
          <cell r="D712" t="str">
            <v>EUR2</v>
          </cell>
          <cell r="E712">
            <v>3.3352315657809752</v>
          </cell>
          <cell r="G712" t="str">
            <v>CYPRUS</v>
          </cell>
          <cell r="H712">
            <v>5</v>
          </cell>
        </row>
        <row r="713">
          <cell r="B713" t="str">
            <v>42551EUR3</v>
          </cell>
          <cell r="C713" t="str">
            <v>42551ESTONIA</v>
          </cell>
          <cell r="D713" t="str">
            <v>EUR3</v>
          </cell>
          <cell r="E713">
            <v>3.3352315657809752</v>
          </cell>
          <cell r="G713" t="str">
            <v>ESTONIA</v>
          </cell>
          <cell r="H713">
            <v>5</v>
          </cell>
        </row>
        <row r="714">
          <cell r="B714" t="str">
            <v>42551EUR4</v>
          </cell>
          <cell r="C714" t="str">
            <v>42551FINLAND</v>
          </cell>
          <cell r="D714" t="str">
            <v>EUR4</v>
          </cell>
          <cell r="E714">
            <v>3.3352315657809752</v>
          </cell>
          <cell r="G714" t="str">
            <v>FINLAND</v>
          </cell>
          <cell r="H714">
            <v>4</v>
          </cell>
        </row>
        <row r="715">
          <cell r="B715" t="str">
            <v>42551EUR5</v>
          </cell>
          <cell r="C715" t="str">
            <v>42551FRANCE</v>
          </cell>
          <cell r="D715" t="str">
            <v>EUR5</v>
          </cell>
          <cell r="E715">
            <v>3.3352315657809752</v>
          </cell>
          <cell r="G715" t="str">
            <v>FRANCE</v>
          </cell>
          <cell r="H715">
            <v>4</v>
          </cell>
        </row>
        <row r="716">
          <cell r="B716" t="str">
            <v>42551EUR6</v>
          </cell>
          <cell r="C716" t="str">
            <v>42551GERMANY</v>
          </cell>
          <cell r="D716" t="str">
            <v>EUR6</v>
          </cell>
          <cell r="E716">
            <v>3.3352315657809752</v>
          </cell>
          <cell r="G716" t="str">
            <v>GERMANY</v>
          </cell>
          <cell r="H716">
            <v>4.2730587794838035</v>
          </cell>
        </row>
        <row r="717">
          <cell r="B717" t="str">
            <v>42551EUR7</v>
          </cell>
          <cell r="C717" t="str">
            <v>42551GREECE</v>
          </cell>
          <cell r="D717" t="str">
            <v>EUR7</v>
          </cell>
          <cell r="E717">
            <v>3.3352315657809752</v>
          </cell>
          <cell r="G717" t="str">
            <v>GREECE</v>
          </cell>
          <cell r="H717">
            <v>10</v>
          </cell>
        </row>
        <row r="718">
          <cell r="B718" t="str">
            <v>42551EUR8</v>
          </cell>
          <cell r="C718" t="str">
            <v>42551IRELAND</v>
          </cell>
          <cell r="D718" t="str">
            <v>EUR8</v>
          </cell>
          <cell r="E718">
            <v>3.3352315657809752</v>
          </cell>
          <cell r="G718" t="str">
            <v>IRELAND</v>
          </cell>
          <cell r="H718">
            <v>4</v>
          </cell>
        </row>
        <row r="719">
          <cell r="B719" t="str">
            <v>42551EUR9</v>
          </cell>
          <cell r="C719" t="str">
            <v>42551ITALY</v>
          </cell>
          <cell r="D719" t="str">
            <v>EUR9</v>
          </cell>
          <cell r="E719">
            <v>3.3352315657809752</v>
          </cell>
          <cell r="G719" t="str">
            <v>ITALY</v>
          </cell>
          <cell r="H719">
            <v>4</v>
          </cell>
        </row>
        <row r="720">
          <cell r="B720" t="str">
            <v>42551EUR10</v>
          </cell>
          <cell r="C720" t="str">
            <v>42551LATVIA</v>
          </cell>
          <cell r="D720" t="str">
            <v>EUR10</v>
          </cell>
          <cell r="E720">
            <v>3.3352315657809752</v>
          </cell>
          <cell r="G720" t="str">
            <v>LATVIA</v>
          </cell>
          <cell r="H720">
            <v>5</v>
          </cell>
        </row>
        <row r="721">
          <cell r="B721" t="str">
            <v>42551EUR11</v>
          </cell>
          <cell r="C721" t="str">
            <v>42551LUXEMBOURG</v>
          </cell>
          <cell r="D721" t="str">
            <v>EUR11</v>
          </cell>
          <cell r="E721">
            <v>3.3352315657809752</v>
          </cell>
          <cell r="G721" t="str">
            <v>LUXEMBOURG</v>
          </cell>
          <cell r="H721">
            <v>4</v>
          </cell>
        </row>
        <row r="722">
          <cell r="B722" t="str">
            <v>42551EUR12</v>
          </cell>
          <cell r="C722" t="str">
            <v>42551MALTA</v>
          </cell>
          <cell r="D722" t="str">
            <v>EUR12</v>
          </cell>
          <cell r="E722">
            <v>3.3352315657809752</v>
          </cell>
          <cell r="G722" t="str">
            <v>MALTA</v>
          </cell>
          <cell r="H722">
            <v>5</v>
          </cell>
        </row>
        <row r="723">
          <cell r="B723" t="str">
            <v>42551EUR13</v>
          </cell>
          <cell r="C723" t="str">
            <v>42551MONTENEGRO</v>
          </cell>
          <cell r="D723" t="str">
            <v>EUR13</v>
          </cell>
          <cell r="E723">
            <v>3.3352315657809752</v>
          </cell>
          <cell r="G723" t="str">
            <v>MONTENEGRO</v>
          </cell>
          <cell r="H723">
            <v>5</v>
          </cell>
        </row>
        <row r="724">
          <cell r="B724" t="str">
            <v>42551EUR14</v>
          </cell>
          <cell r="C724" t="str">
            <v>42551NETHERLANDS</v>
          </cell>
          <cell r="D724" t="str">
            <v>EUR14</v>
          </cell>
          <cell r="E724">
            <v>3.3352315657809752</v>
          </cell>
          <cell r="G724" t="str">
            <v>NETHERLANDS</v>
          </cell>
          <cell r="H724">
            <v>4</v>
          </cell>
        </row>
        <row r="725">
          <cell r="B725" t="str">
            <v>42551EUR15</v>
          </cell>
          <cell r="C725" t="str">
            <v>42551PORTUGAL</v>
          </cell>
          <cell r="D725" t="str">
            <v>EUR15</v>
          </cell>
          <cell r="E725">
            <v>3.3352315657809752</v>
          </cell>
          <cell r="G725" t="str">
            <v>PORTUGAL</v>
          </cell>
          <cell r="H725">
            <v>4</v>
          </cell>
        </row>
        <row r="726">
          <cell r="B726" t="str">
            <v>42551EUR16</v>
          </cell>
          <cell r="C726" t="str">
            <v>42551SLOVAKIA</v>
          </cell>
          <cell r="D726" t="str">
            <v>EUR16</v>
          </cell>
          <cell r="E726">
            <v>3.3352315657809752</v>
          </cell>
          <cell r="G726" t="str">
            <v>SLOVAKIA</v>
          </cell>
          <cell r="H726">
            <v>5</v>
          </cell>
        </row>
        <row r="727">
          <cell r="B727" t="str">
            <v>42551EUR17</v>
          </cell>
          <cell r="C727" t="str">
            <v>42551SLOVENIA</v>
          </cell>
          <cell r="D727" t="str">
            <v>EUR17</v>
          </cell>
          <cell r="E727">
            <v>3.3352315657809752</v>
          </cell>
          <cell r="G727" t="str">
            <v>SLOVENIA</v>
          </cell>
          <cell r="H727">
            <v>5</v>
          </cell>
        </row>
        <row r="728">
          <cell r="B728" t="str">
            <v>42551EUR18</v>
          </cell>
          <cell r="C728" t="str">
            <v>42551SPAIN</v>
          </cell>
          <cell r="D728" t="str">
            <v>EUR18</v>
          </cell>
          <cell r="E728">
            <v>3.3352315657809752</v>
          </cell>
          <cell r="G728" t="str">
            <v>SPAIN</v>
          </cell>
          <cell r="H728">
            <v>4</v>
          </cell>
        </row>
        <row r="729">
          <cell r="B729" t="str">
            <v>42551Eastern European Institutions</v>
          </cell>
          <cell r="C729" t="str">
            <v>42551Eastern European Institutions</v>
          </cell>
          <cell r="D729" t="str">
            <v>Eastern European Institutions</v>
          </cell>
          <cell r="E729">
            <v>2.25</v>
          </cell>
          <cell r="G729" t="str">
            <v>Eastern European Institutions</v>
          </cell>
          <cell r="H729">
            <v>5</v>
          </cell>
        </row>
        <row r="730">
          <cell r="B730" t="str">
            <v>42582AED</v>
          </cell>
          <cell r="C730" t="str">
            <v>42582U. A. E.</v>
          </cell>
          <cell r="D730" t="str">
            <v>AED</v>
          </cell>
          <cell r="E730">
            <v>5.3453380422483523</v>
          </cell>
          <cell r="F730">
            <v>1.8594341000000001</v>
          </cell>
          <cell r="G730" t="str">
            <v>U. A. E.</v>
          </cell>
          <cell r="H730">
            <v>5</v>
          </cell>
        </row>
        <row r="731">
          <cell r="B731" t="str">
            <v>42582ARS</v>
          </cell>
          <cell r="C731" t="str">
            <v>42582ARGENTINA</v>
          </cell>
          <cell r="D731" t="str">
            <v>ARS</v>
          </cell>
          <cell r="E731">
            <v>19.107526406875035</v>
          </cell>
          <cell r="F731">
            <v>29.043583000000002</v>
          </cell>
          <cell r="G731" t="str">
            <v>ARGENTINA</v>
          </cell>
          <cell r="H731">
            <v>5</v>
          </cell>
        </row>
        <row r="732">
          <cell r="B732" t="str">
            <v>42582AUD</v>
          </cell>
          <cell r="C732" t="str">
            <v>42582AUSTRALIA</v>
          </cell>
          <cell r="D732" t="str">
            <v>AUD</v>
          </cell>
          <cell r="E732">
            <v>4.6412929023544471</v>
          </cell>
          <cell r="F732">
            <v>1.9088129</v>
          </cell>
          <cell r="G732" t="str">
            <v>AUSTRALIA</v>
          </cell>
          <cell r="H732">
            <v>4.7278011559491251</v>
          </cell>
        </row>
        <row r="733">
          <cell r="B733" t="str">
            <v>42582BDT</v>
          </cell>
          <cell r="C733" t="str">
            <v>42582BANGLADESH</v>
          </cell>
          <cell r="D733" t="str">
            <v>BDT</v>
          </cell>
          <cell r="E733">
            <v>8.7282761424205138</v>
          </cell>
          <cell r="F733">
            <v>6.016667</v>
          </cell>
          <cell r="G733" t="str">
            <v>BANGLADESH</v>
          </cell>
          <cell r="H733">
            <v>5</v>
          </cell>
        </row>
        <row r="734">
          <cell r="B734" t="str">
            <v>42582BRL</v>
          </cell>
          <cell r="C734" t="str">
            <v>42582BRAZIL</v>
          </cell>
          <cell r="D734" t="str">
            <v>BRL</v>
          </cell>
          <cell r="E734">
            <v>8.3315082513534957</v>
          </cell>
          <cell r="F734">
            <v>6.1307507000000001</v>
          </cell>
          <cell r="G734" t="str">
            <v>BRAZIL</v>
          </cell>
          <cell r="H734">
            <v>6</v>
          </cell>
        </row>
        <row r="735">
          <cell r="B735" t="str">
            <v>42582BWP</v>
          </cell>
          <cell r="C735" t="str">
            <v>42582BOTSWANA</v>
          </cell>
          <cell r="D735" t="str">
            <v>BWP</v>
          </cell>
          <cell r="E735">
            <v>6.1094488488926215</v>
          </cell>
          <cell r="F735">
            <v>3.4958333330000002</v>
          </cell>
          <cell r="G735" t="str">
            <v>BOTSWANA</v>
          </cell>
          <cell r="H735">
            <v>5</v>
          </cell>
        </row>
        <row r="736">
          <cell r="B736" t="str">
            <v>42582CAD</v>
          </cell>
          <cell r="C736" t="str">
            <v>42582CANADA</v>
          </cell>
          <cell r="D736" t="str">
            <v>CAD</v>
          </cell>
          <cell r="E736">
            <v>4.0966815822429039</v>
          </cell>
          <cell r="F736">
            <v>1.9262798000000001</v>
          </cell>
          <cell r="G736" t="str">
            <v>CANADA</v>
          </cell>
          <cell r="H736">
            <v>4</v>
          </cell>
        </row>
        <row r="737">
          <cell r="B737" t="str">
            <v>42582CHF</v>
          </cell>
          <cell r="C737" t="str">
            <v>42582SWITZERLAND</v>
          </cell>
          <cell r="D737" t="str">
            <v>CHF</v>
          </cell>
          <cell r="E737">
            <v>2.6195261958107432</v>
          </cell>
          <cell r="F737">
            <v>-4.6630024999999999E-2</v>
          </cell>
          <cell r="G737" t="str">
            <v>SWITZERLAND</v>
          </cell>
          <cell r="H737">
            <v>4</v>
          </cell>
        </row>
        <row r="738">
          <cell r="B738" t="str">
            <v>42582CLP</v>
          </cell>
          <cell r="C738" t="str">
            <v>42582CHILE</v>
          </cell>
          <cell r="D738" t="str">
            <v>CLP</v>
          </cell>
          <cell r="E738">
            <v>5.4691179143838733</v>
          </cell>
          <cell r="F738">
            <v>3.2497902000000001</v>
          </cell>
          <cell r="G738" t="str">
            <v>CHILE</v>
          </cell>
          <cell r="H738">
            <v>5</v>
          </cell>
        </row>
        <row r="739">
          <cell r="B739" t="str">
            <v>42582CNY</v>
          </cell>
          <cell r="C739" t="str">
            <v>42582CHINA</v>
          </cell>
          <cell r="D739" t="str">
            <v>CNY</v>
          </cell>
          <cell r="E739">
            <v>4.5690940583035724</v>
          </cell>
          <cell r="F739">
            <v>1.9872141000000001</v>
          </cell>
          <cell r="G739" t="str">
            <v>CHINA</v>
          </cell>
          <cell r="H739">
            <v>5</v>
          </cell>
        </row>
        <row r="740">
          <cell r="B740" t="str">
            <v>42582COP</v>
          </cell>
          <cell r="C740" t="str">
            <v>42582COLOMBIA</v>
          </cell>
          <cell r="D740" t="str">
            <v>COP</v>
          </cell>
          <cell r="E740">
            <v>6.1921648305771662</v>
          </cell>
          <cell r="F740">
            <v>5.0038450000000001</v>
          </cell>
          <cell r="G740" t="str">
            <v>COLOMBIA</v>
          </cell>
          <cell r="H740">
            <v>5</v>
          </cell>
        </row>
        <row r="741">
          <cell r="B741" t="str">
            <v>42582CZK</v>
          </cell>
          <cell r="C741" t="str">
            <v>42582CZECH REPUBLIC</v>
          </cell>
          <cell r="D741" t="str">
            <v>CZK</v>
          </cell>
          <cell r="E741">
            <v>4.0937457684019609</v>
          </cell>
          <cell r="F741">
            <v>1.2378529</v>
          </cell>
          <cell r="G741" t="str">
            <v>CZECH REPUBLIC</v>
          </cell>
          <cell r="H741">
            <v>5</v>
          </cell>
        </row>
        <row r="742">
          <cell r="B742" t="str">
            <v>42582DKK</v>
          </cell>
          <cell r="C742" t="str">
            <v>42582DENMARK</v>
          </cell>
          <cell r="D742" t="str">
            <v>DKK</v>
          </cell>
          <cell r="E742">
            <v>3.8290055275646475</v>
          </cell>
          <cell r="F742">
            <v>1.0544807</v>
          </cell>
          <cell r="G742" t="str">
            <v>DENMARK</v>
          </cell>
          <cell r="H742">
            <v>4</v>
          </cell>
        </row>
        <row r="743">
          <cell r="B743" t="str">
            <v>42582EGP</v>
          </cell>
          <cell r="C743" t="str">
            <v>42582EGYPT</v>
          </cell>
          <cell r="D743" t="str">
            <v>EGP</v>
          </cell>
          <cell r="E743">
            <v>10.752482653679188</v>
          </cell>
          <cell r="F743">
            <v>11.390606</v>
          </cell>
          <cell r="G743" t="str">
            <v>EGYPT</v>
          </cell>
          <cell r="H743">
            <v>6</v>
          </cell>
        </row>
        <row r="744">
          <cell r="B744" t="str">
            <v>42582EUR</v>
          </cell>
          <cell r="C744" t="str">
            <v>42582AUSTRIA</v>
          </cell>
          <cell r="D744" t="str">
            <v>EUR</v>
          </cell>
          <cell r="E744">
            <v>3.3352315657809752</v>
          </cell>
          <cell r="F744">
            <v>0.78922234999999996</v>
          </cell>
          <cell r="G744" t="str">
            <v>AUSTRIA</v>
          </cell>
          <cell r="H744">
            <v>4</v>
          </cell>
        </row>
        <row r="745">
          <cell r="B745" t="str">
            <v>42582GBP</v>
          </cell>
          <cell r="C745" t="str">
            <v>42582UNITED KINGDOM</v>
          </cell>
          <cell r="D745" t="str">
            <v>GBP</v>
          </cell>
          <cell r="E745">
            <v>3.9790644837374192</v>
          </cell>
          <cell r="F745">
            <v>1.7014165000000001</v>
          </cell>
          <cell r="G745" t="str">
            <v>UNITED KINGDOM</v>
          </cell>
          <cell r="H745">
            <v>4</v>
          </cell>
        </row>
        <row r="746">
          <cell r="B746" t="str">
            <v>42582GEL</v>
          </cell>
          <cell r="C746" t="str">
            <v>42582GEORGIA</v>
          </cell>
          <cell r="D746" t="str">
            <v>GEL</v>
          </cell>
          <cell r="E746">
            <v>5.910453326152191</v>
          </cell>
          <cell r="F746">
            <v>4.4176666669999998</v>
          </cell>
          <cell r="G746" t="str">
            <v>GEORGIA</v>
          </cell>
          <cell r="H746">
            <v>5</v>
          </cell>
        </row>
        <row r="747">
          <cell r="B747" t="str">
            <v>42582HKD</v>
          </cell>
          <cell r="C747" t="str">
            <v>42582HONG KONG</v>
          </cell>
          <cell r="D747" t="str">
            <v>HKD</v>
          </cell>
          <cell r="E747">
            <v>4.9499026289057593</v>
          </cell>
          <cell r="F747">
            <v>1.8594341000000001</v>
          </cell>
          <cell r="G747" t="str">
            <v>HONG KONG</v>
          </cell>
          <cell r="H747">
            <v>4.1191914293978131</v>
          </cell>
        </row>
        <row r="748">
          <cell r="B748" t="str">
            <v>42582HRK</v>
          </cell>
          <cell r="C748" t="str">
            <v>42582CROATIA</v>
          </cell>
          <cell r="D748" t="str">
            <v>HRK</v>
          </cell>
          <cell r="E748">
            <v>3.7135338084439065</v>
          </cell>
          <cell r="F748">
            <v>0.94016666699999996</v>
          </cell>
          <cell r="G748" t="str">
            <v>CROATIA</v>
          </cell>
          <cell r="H748">
            <v>5</v>
          </cell>
        </row>
        <row r="749">
          <cell r="B749" t="str">
            <v>42582HUF</v>
          </cell>
          <cell r="C749" t="str">
            <v>42582HUNGARY</v>
          </cell>
          <cell r="D749" t="str">
            <v>HUF</v>
          </cell>
          <cell r="E749">
            <v>4.5059285274373009</v>
          </cell>
          <cell r="F749">
            <v>1.3794378</v>
          </cell>
          <cell r="G749" t="str">
            <v>HUNGARY</v>
          </cell>
          <cell r="H749">
            <v>5</v>
          </cell>
        </row>
        <row r="750">
          <cell r="B750" t="str">
            <v>42582IDR</v>
          </cell>
          <cell r="C750" t="str">
            <v>42582INDONESIA</v>
          </cell>
          <cell r="D750" t="str">
            <v>IDR</v>
          </cell>
          <cell r="E750">
            <v>6.5665248781261489</v>
          </cell>
          <cell r="F750">
            <v>4.389672</v>
          </cell>
          <cell r="G750" t="str">
            <v>INDONESIA</v>
          </cell>
          <cell r="H750">
            <v>5</v>
          </cell>
        </row>
        <row r="751">
          <cell r="B751" t="str">
            <v>42582ILS</v>
          </cell>
          <cell r="C751" t="str">
            <v>42582ISRAEL</v>
          </cell>
          <cell r="D751" t="str">
            <v>ILS</v>
          </cell>
          <cell r="E751">
            <v>3.5188753800549346</v>
          </cell>
          <cell r="F751">
            <v>0.67756079999999996</v>
          </cell>
          <cell r="G751" t="str">
            <v>ISRAEL</v>
          </cell>
          <cell r="H751">
            <v>4</v>
          </cell>
        </row>
        <row r="752">
          <cell r="B752" t="str">
            <v>42582INR</v>
          </cell>
          <cell r="C752" t="str">
            <v>42582INDIA</v>
          </cell>
          <cell r="D752" t="str">
            <v>INR</v>
          </cell>
          <cell r="E752">
            <v>7.5524751613458765</v>
          </cell>
          <cell r="F752">
            <v>5.1611165999999997</v>
          </cell>
          <cell r="G752" t="str">
            <v>INDIA</v>
          </cell>
          <cell r="H752">
            <v>5</v>
          </cell>
        </row>
        <row r="753">
          <cell r="B753" t="str">
            <v>42582IQD</v>
          </cell>
          <cell r="C753" t="str">
            <v>42582IRAQ</v>
          </cell>
          <cell r="D753" t="str">
            <v>IQD</v>
          </cell>
          <cell r="E753">
            <v>4.2500000000000018</v>
          </cell>
          <cell r="F753">
            <v>2</v>
          </cell>
          <cell r="G753" t="str">
            <v>IRAQ</v>
          </cell>
          <cell r="H753">
            <v>5</v>
          </cell>
        </row>
        <row r="754">
          <cell r="B754" t="str">
            <v>42582JPY</v>
          </cell>
          <cell r="C754" t="str">
            <v>42582JAPAN</v>
          </cell>
          <cell r="D754" t="str">
            <v>JPY</v>
          </cell>
          <cell r="E754">
            <v>3.0365726764600511</v>
          </cell>
          <cell r="F754">
            <v>0.31987482</v>
          </cell>
          <cell r="G754" t="str">
            <v>JAPAN</v>
          </cell>
          <cell r="H754">
            <v>4</v>
          </cell>
        </row>
        <row r="755">
          <cell r="B755" t="str">
            <v>42582KES</v>
          </cell>
          <cell r="C755" t="str">
            <v>42582KENYA</v>
          </cell>
          <cell r="D755" t="str">
            <v>KES</v>
          </cell>
          <cell r="E755">
            <v>7.7087896811692405</v>
          </cell>
          <cell r="F755">
            <v>6.0943333329999998</v>
          </cell>
          <cell r="G755" t="str">
            <v>KENYA</v>
          </cell>
          <cell r="H755">
            <v>5</v>
          </cell>
        </row>
        <row r="756">
          <cell r="B756" t="str">
            <v>42582KHR</v>
          </cell>
          <cell r="C756" t="str">
            <v>42582CAMBODIA</v>
          </cell>
          <cell r="D756" t="str">
            <v>KHR</v>
          </cell>
          <cell r="E756">
            <v>5.0607390049122216</v>
          </cell>
          <cell r="F756">
            <v>2.5355833329999999</v>
          </cell>
          <cell r="G756" t="str">
            <v>CAMBODIA</v>
          </cell>
          <cell r="H756">
            <v>5</v>
          </cell>
        </row>
        <row r="757">
          <cell r="B757" t="str">
            <v>42582KRW</v>
          </cell>
          <cell r="C757" t="str">
            <v>42582KOREA SOUTH(REPUBLIC OF KOREA)</v>
          </cell>
          <cell r="D757" t="str">
            <v>KRW</v>
          </cell>
          <cell r="E757">
            <v>4.1596838783537295</v>
          </cell>
          <cell r="F757">
            <v>1.4269866</v>
          </cell>
          <cell r="G757" t="str">
            <v>KOREA SOUTH(REPUBLIC OF KOREA)</v>
          </cell>
          <cell r="H757">
            <v>5</v>
          </cell>
        </row>
        <row r="758">
          <cell r="B758" t="str">
            <v>42582KWD</v>
          </cell>
          <cell r="C758" t="str">
            <v>42582KUWAIT</v>
          </cell>
          <cell r="D758" t="str">
            <v>KWD</v>
          </cell>
          <cell r="E758">
            <v>5.7499806763212904</v>
          </cell>
          <cell r="F758">
            <v>3.46</v>
          </cell>
          <cell r="G758" t="str">
            <v>KUWAIT</v>
          </cell>
          <cell r="H758">
            <v>5</v>
          </cell>
        </row>
        <row r="759">
          <cell r="B759" t="str">
            <v>42582LKR</v>
          </cell>
          <cell r="C759" t="str">
            <v>42582SRI LANKA</v>
          </cell>
          <cell r="D759" t="str">
            <v>LKR</v>
          </cell>
          <cell r="E759">
            <v>6.8375902073245989</v>
          </cell>
          <cell r="F759">
            <v>4.4916669999999996</v>
          </cell>
          <cell r="G759" t="str">
            <v>SRI LANKA</v>
          </cell>
          <cell r="H759">
            <v>5</v>
          </cell>
        </row>
        <row r="760">
          <cell r="B760" t="str">
            <v>42582KZT</v>
          </cell>
          <cell r="C760" t="str">
            <v>42582KAZAKHSTAN</v>
          </cell>
          <cell r="D760" t="str">
            <v>KZT</v>
          </cell>
          <cell r="E760">
            <v>11.702472282512669</v>
          </cell>
          <cell r="F760">
            <v>10.8515</v>
          </cell>
          <cell r="G760" t="str">
            <v>KAZAKHSTAN</v>
          </cell>
          <cell r="H760">
            <v>5</v>
          </cell>
        </row>
        <row r="761">
          <cell r="B761" t="str">
            <v>42582MAD</v>
          </cell>
          <cell r="C761" t="str">
            <v>42582MOROCCO</v>
          </cell>
          <cell r="D761" t="str">
            <v>MAD</v>
          </cell>
          <cell r="E761">
            <v>4.1498033428810901</v>
          </cell>
          <cell r="F761">
            <v>1.7916666670000001</v>
          </cell>
          <cell r="G761" t="str">
            <v>MOROCCO</v>
          </cell>
          <cell r="H761">
            <v>5</v>
          </cell>
        </row>
        <row r="762">
          <cell r="B762" t="str">
            <v>42582MXN</v>
          </cell>
          <cell r="C762" t="str">
            <v>42582MEXICO</v>
          </cell>
          <cell r="D762" t="str">
            <v>MXN</v>
          </cell>
          <cell r="E762">
            <v>5.2343901670048023</v>
          </cell>
          <cell r="F762">
            <v>3.3927130000000001</v>
          </cell>
          <cell r="G762" t="str">
            <v>MEXICO</v>
          </cell>
          <cell r="H762">
            <v>5</v>
          </cell>
        </row>
        <row r="763">
          <cell r="B763" t="str">
            <v>42582MYR</v>
          </cell>
          <cell r="C763" t="str">
            <v>42582MALAYSIA</v>
          </cell>
          <cell r="D763" t="str">
            <v>MYR</v>
          </cell>
          <cell r="E763">
            <v>5.2525698562266889</v>
          </cell>
          <cell r="F763">
            <v>2.4896367000000001</v>
          </cell>
          <cell r="G763" t="str">
            <v>MALAYSIA</v>
          </cell>
          <cell r="H763">
            <v>5</v>
          </cell>
        </row>
        <row r="764">
          <cell r="B764" t="str">
            <v>42582NGN</v>
          </cell>
          <cell r="C764" t="str">
            <v>42582NIGERIA</v>
          </cell>
          <cell r="D764" t="str">
            <v>NGN</v>
          </cell>
          <cell r="E764">
            <v>13.288855732504228</v>
          </cell>
          <cell r="F764">
            <v>12.611224999999999</v>
          </cell>
          <cell r="G764" t="str">
            <v>NIGERIA</v>
          </cell>
          <cell r="H764">
            <v>6</v>
          </cell>
        </row>
        <row r="765">
          <cell r="B765" t="str">
            <v>42582NOK</v>
          </cell>
          <cell r="C765" t="str">
            <v>42582NORWAY</v>
          </cell>
          <cell r="D765" t="str">
            <v>NOK</v>
          </cell>
          <cell r="E765">
            <v>4.8099298792005287</v>
          </cell>
          <cell r="F765">
            <v>2.3892603000000001</v>
          </cell>
          <cell r="G765" t="str">
            <v>NORWAY</v>
          </cell>
          <cell r="H765">
            <v>4</v>
          </cell>
        </row>
        <row r="766">
          <cell r="B766" t="str">
            <v>42582NZD</v>
          </cell>
          <cell r="C766" t="str">
            <v>42582NEW ZEALAND</v>
          </cell>
          <cell r="D766" t="str">
            <v>NZD</v>
          </cell>
          <cell r="E766">
            <v>4.1218182331383115</v>
          </cell>
          <cell r="F766">
            <v>1.2786687999999999</v>
          </cell>
          <cell r="G766" t="str">
            <v>NEW ZEALAND</v>
          </cell>
          <cell r="H766">
            <v>5.2472758251652607</v>
          </cell>
        </row>
        <row r="767">
          <cell r="B767" t="str">
            <v>42582OMR</v>
          </cell>
          <cell r="C767" t="str">
            <v>42582OMAN</v>
          </cell>
          <cell r="D767" t="str">
            <v>OMR</v>
          </cell>
          <cell r="E767">
            <v>4.5676919352295267</v>
          </cell>
          <cell r="F767">
            <v>1.8594341000000001</v>
          </cell>
          <cell r="G767" t="str">
            <v>OMAN</v>
          </cell>
          <cell r="H767">
            <v>5</v>
          </cell>
        </row>
        <row r="768">
          <cell r="B768" t="str">
            <v>42582PEN</v>
          </cell>
          <cell r="C768" t="str">
            <v>42582PERU</v>
          </cell>
          <cell r="D768" t="str">
            <v>PEN</v>
          </cell>
          <cell r="E768">
            <v>4.8597231110706831</v>
          </cell>
          <cell r="F768">
            <v>2.8894867999999998</v>
          </cell>
          <cell r="G768" t="str">
            <v>PERU</v>
          </cell>
          <cell r="H768">
            <v>5</v>
          </cell>
        </row>
        <row r="769">
          <cell r="B769" t="str">
            <v>42582PHP</v>
          </cell>
          <cell r="C769" t="str">
            <v>42582PHILIPPINES</v>
          </cell>
          <cell r="D769" t="str">
            <v>PHP</v>
          </cell>
          <cell r="E769">
            <v>5.4239029788509177</v>
          </cell>
          <cell r="F769">
            <v>2.4402368000000001</v>
          </cell>
          <cell r="G769" t="str">
            <v>PHILIPPINES</v>
          </cell>
          <cell r="H769">
            <v>5</v>
          </cell>
        </row>
        <row r="770">
          <cell r="B770" t="str">
            <v>42582PKR</v>
          </cell>
          <cell r="C770" t="str">
            <v>42582PAKISTAN</v>
          </cell>
          <cell r="D770" t="str">
            <v>PKR</v>
          </cell>
          <cell r="E770">
            <v>6.9044641685775101</v>
          </cell>
          <cell r="F770">
            <v>4.6666670000000003</v>
          </cell>
          <cell r="G770" t="str">
            <v>PAKISTAN</v>
          </cell>
          <cell r="H770">
            <v>5</v>
          </cell>
        </row>
        <row r="771">
          <cell r="B771" t="str">
            <v>42582PLN</v>
          </cell>
          <cell r="C771" t="str">
            <v>42582POLAND</v>
          </cell>
          <cell r="D771" t="str">
            <v>PLN</v>
          </cell>
          <cell r="E771">
            <v>3.8412361073600501</v>
          </cell>
          <cell r="F771">
            <v>0.64099859999999997</v>
          </cell>
          <cell r="G771" t="str">
            <v>POLAND</v>
          </cell>
          <cell r="H771">
            <v>5</v>
          </cell>
        </row>
        <row r="772">
          <cell r="B772" t="str">
            <v>42582QAR</v>
          </cell>
          <cell r="C772" t="str">
            <v>42582QATAR</v>
          </cell>
          <cell r="D772" t="str">
            <v>QAR</v>
          </cell>
          <cell r="E772">
            <v>4.8306558369726673</v>
          </cell>
          <cell r="F772">
            <v>1.8594341000000001</v>
          </cell>
          <cell r="G772" t="str">
            <v>QATAR</v>
          </cell>
          <cell r="H772">
            <v>5</v>
          </cell>
        </row>
        <row r="773">
          <cell r="B773" t="str">
            <v>42582RON</v>
          </cell>
          <cell r="C773" t="str">
            <v>42582ROMANIA</v>
          </cell>
          <cell r="D773" t="str">
            <v>RON</v>
          </cell>
          <cell r="E773">
            <v>4.4405714184492275</v>
          </cell>
          <cell r="F773">
            <v>0.87316304</v>
          </cell>
          <cell r="G773" t="str">
            <v>ROMANIA</v>
          </cell>
          <cell r="H773">
            <v>5</v>
          </cell>
        </row>
        <row r="774">
          <cell r="B774" t="str">
            <v>42582RUB</v>
          </cell>
          <cell r="C774" t="str">
            <v>42582RUSSIAN FEDERATION</v>
          </cell>
          <cell r="D774" t="str">
            <v>RUB</v>
          </cell>
          <cell r="E774">
            <v>7.8008643879939701</v>
          </cell>
          <cell r="F774">
            <v>5.9672976000000002</v>
          </cell>
          <cell r="G774" t="str">
            <v>RUSSIAN FEDERATION</v>
          </cell>
          <cell r="H774">
            <v>5</v>
          </cell>
        </row>
        <row r="775">
          <cell r="B775" t="str">
            <v>42582SAR</v>
          </cell>
          <cell r="C775" t="str">
            <v>42582SAUDI ARABIA</v>
          </cell>
          <cell r="D775" t="str">
            <v>SAR</v>
          </cell>
          <cell r="E775">
            <v>4.337047402578035</v>
          </cell>
          <cell r="F775">
            <v>1.8594341000000001</v>
          </cell>
          <cell r="G775" t="str">
            <v>SAUDI ARABIA</v>
          </cell>
          <cell r="H775">
            <v>5</v>
          </cell>
        </row>
        <row r="776">
          <cell r="B776" t="str">
            <v>42582SEK</v>
          </cell>
          <cell r="C776" t="str">
            <v>42582SWEDEN</v>
          </cell>
          <cell r="D776" t="str">
            <v>SEK</v>
          </cell>
          <cell r="E776">
            <v>3.95556669639228</v>
          </cell>
          <cell r="F776">
            <v>1.2643990000000001</v>
          </cell>
          <cell r="G776" t="str">
            <v>SWEDEN</v>
          </cell>
          <cell r="H776">
            <v>4</v>
          </cell>
        </row>
        <row r="777">
          <cell r="B777" t="str">
            <v>42582SGD</v>
          </cell>
          <cell r="C777" t="str">
            <v>42582SINGAPORE</v>
          </cell>
          <cell r="D777" t="str">
            <v>SGD</v>
          </cell>
          <cell r="E777">
            <v>3.6997334185961774</v>
          </cell>
          <cell r="F777">
            <v>0.34963875999999999</v>
          </cell>
          <cell r="G777" t="str">
            <v>SINGAPORE</v>
          </cell>
          <cell r="H777">
            <v>5</v>
          </cell>
        </row>
        <row r="778">
          <cell r="B778" t="str">
            <v>42582TZS</v>
          </cell>
          <cell r="C778" t="str">
            <v>42582TANZANIA, UNITED REPUBLIC OF</v>
          </cell>
          <cell r="D778" t="str">
            <v>TZS</v>
          </cell>
          <cell r="E778">
            <v>7.5254565064652592</v>
          </cell>
          <cell r="F778">
            <v>5.4909166669999996</v>
          </cell>
          <cell r="G778" t="str">
            <v>TANZANIA, UNITED REPUBLIC OF</v>
          </cell>
          <cell r="H778">
            <v>5</v>
          </cell>
        </row>
        <row r="779">
          <cell r="B779" t="str">
            <v>42582THB</v>
          </cell>
          <cell r="C779" t="str">
            <v>42582THAILAND</v>
          </cell>
          <cell r="D779" t="str">
            <v>THB</v>
          </cell>
          <cell r="E779">
            <v>3.9363951916817888</v>
          </cell>
          <cell r="F779">
            <v>1.3312557</v>
          </cell>
          <cell r="G779" t="str">
            <v>THAILAND</v>
          </cell>
          <cell r="H779">
            <v>5.7633382269143887</v>
          </cell>
        </row>
        <row r="780">
          <cell r="B780" t="str">
            <v>42582TRY</v>
          </cell>
          <cell r="C780" t="str">
            <v>42582TURKEY</v>
          </cell>
          <cell r="D780" t="str">
            <v>TRY</v>
          </cell>
          <cell r="E780">
            <v>10.122130135132704</v>
          </cell>
          <cell r="F780">
            <v>7.5445403999999998</v>
          </cell>
          <cell r="G780" t="str">
            <v>TURKEY</v>
          </cell>
          <cell r="H780">
            <v>6</v>
          </cell>
        </row>
        <row r="781">
          <cell r="B781" t="str">
            <v>42582TWD</v>
          </cell>
          <cell r="C781" t="str">
            <v>42582TAIWAN</v>
          </cell>
          <cell r="D781" t="str">
            <v>TWD</v>
          </cell>
          <cell r="E781">
            <v>3.5293203653624907</v>
          </cell>
          <cell r="F781">
            <v>1.1041711999999999</v>
          </cell>
          <cell r="G781" t="str">
            <v>TAIWAN</v>
          </cell>
          <cell r="H781">
            <v>5</v>
          </cell>
        </row>
        <row r="782">
          <cell r="B782" t="str">
            <v>42582UAH</v>
          </cell>
          <cell r="C782" t="str">
            <v>42582UKRAINE</v>
          </cell>
          <cell r="D782" t="str">
            <v>UAH</v>
          </cell>
          <cell r="E782">
            <v>11.41857511931315</v>
          </cell>
          <cell r="F782">
            <v>12.506793999999999</v>
          </cell>
          <cell r="G782" t="str">
            <v>UKRAINE</v>
          </cell>
          <cell r="H782">
            <v>5</v>
          </cell>
        </row>
        <row r="783">
          <cell r="B783" t="str">
            <v>42582USD</v>
          </cell>
          <cell r="C783" t="str">
            <v>42582UNITED STATES</v>
          </cell>
          <cell r="D783" t="str">
            <v>USD</v>
          </cell>
          <cell r="E783">
            <v>3.7543520469065319</v>
          </cell>
          <cell r="F783">
            <v>1.8594341000000001</v>
          </cell>
          <cell r="G783" t="str">
            <v>UNITED STATES</v>
          </cell>
          <cell r="H783">
            <v>4</v>
          </cell>
        </row>
        <row r="784">
          <cell r="B784" t="str">
            <v>42582VND</v>
          </cell>
          <cell r="C784" t="str">
            <v>42582VIET NAM</v>
          </cell>
          <cell r="D784" t="str">
            <v>VND</v>
          </cell>
          <cell r="E784">
            <v>4.9860376606171855</v>
          </cell>
          <cell r="F784">
            <v>3.5500001999999999</v>
          </cell>
          <cell r="G784" t="str">
            <v>VIET NAM</v>
          </cell>
          <cell r="H784">
            <v>7.213695757978992</v>
          </cell>
        </row>
        <row r="785">
          <cell r="B785" t="str">
            <v>42582ZAR</v>
          </cell>
          <cell r="C785" t="str">
            <v>42582SOUTH AFRICA</v>
          </cell>
          <cell r="D785" t="str">
            <v>ZAR</v>
          </cell>
          <cell r="E785">
            <v>8.1587023123335349</v>
          </cell>
          <cell r="F785">
            <v>6.345828</v>
          </cell>
          <cell r="G785" t="str">
            <v>SOUTH AFRICA</v>
          </cell>
          <cell r="H785">
            <v>5</v>
          </cell>
        </row>
        <row r="786">
          <cell r="B786" t="str">
            <v>42582EUR1</v>
          </cell>
          <cell r="C786" t="str">
            <v>42582BELGIUM</v>
          </cell>
          <cell r="D786" t="str">
            <v>EUR1</v>
          </cell>
          <cell r="E786">
            <v>3.3352315657809752</v>
          </cell>
          <cell r="G786" t="str">
            <v>BELGIUM</v>
          </cell>
          <cell r="H786">
            <v>4</v>
          </cell>
        </row>
        <row r="787">
          <cell r="B787" t="str">
            <v>42582EUR2</v>
          </cell>
          <cell r="C787" t="str">
            <v>42582CYPRUS</v>
          </cell>
          <cell r="D787" t="str">
            <v>EUR2</v>
          </cell>
          <cell r="E787">
            <v>3.3352315657809752</v>
          </cell>
          <cell r="G787" t="str">
            <v>CYPRUS</v>
          </cell>
          <cell r="H787">
            <v>5</v>
          </cell>
        </row>
        <row r="788">
          <cell r="B788" t="str">
            <v>42582EUR3</v>
          </cell>
          <cell r="C788" t="str">
            <v>42582ESTONIA</v>
          </cell>
          <cell r="D788" t="str">
            <v>EUR3</v>
          </cell>
          <cell r="E788">
            <v>3.3352315657809752</v>
          </cell>
          <cell r="G788" t="str">
            <v>ESTONIA</v>
          </cell>
          <cell r="H788">
            <v>5</v>
          </cell>
        </row>
        <row r="789">
          <cell r="B789" t="str">
            <v>42582EUR4</v>
          </cell>
          <cell r="C789" t="str">
            <v>42582FINLAND</v>
          </cell>
          <cell r="D789" t="str">
            <v>EUR4</v>
          </cell>
          <cell r="E789">
            <v>3.3352315657809752</v>
          </cell>
          <cell r="G789" t="str">
            <v>FINLAND</v>
          </cell>
          <cell r="H789">
            <v>4</v>
          </cell>
        </row>
        <row r="790">
          <cell r="B790" t="str">
            <v>42582EUR5</v>
          </cell>
          <cell r="C790" t="str">
            <v>42582FRANCE</v>
          </cell>
          <cell r="D790" t="str">
            <v>EUR5</v>
          </cell>
          <cell r="E790">
            <v>3.3352315657809752</v>
          </cell>
          <cell r="G790" t="str">
            <v>FRANCE</v>
          </cell>
          <cell r="H790">
            <v>4</v>
          </cell>
        </row>
        <row r="791">
          <cell r="B791" t="str">
            <v>42582EUR6</v>
          </cell>
          <cell r="C791" t="str">
            <v>42582GERMANY</v>
          </cell>
          <cell r="D791" t="str">
            <v>EUR6</v>
          </cell>
          <cell r="E791">
            <v>3.3352315657809752</v>
          </cell>
          <cell r="G791" t="str">
            <v>GERMANY</v>
          </cell>
          <cell r="H791">
            <v>4.2730587794838035</v>
          </cell>
        </row>
        <row r="792">
          <cell r="B792" t="str">
            <v>42582EUR7</v>
          </cell>
          <cell r="C792" t="str">
            <v>42582GREECE</v>
          </cell>
          <cell r="D792" t="str">
            <v>EUR7</v>
          </cell>
          <cell r="E792">
            <v>3.3352315657809752</v>
          </cell>
          <cell r="G792" t="str">
            <v>GREECE</v>
          </cell>
          <cell r="H792">
            <v>10</v>
          </cell>
        </row>
        <row r="793">
          <cell r="B793" t="str">
            <v>42582EUR8</v>
          </cell>
          <cell r="C793" t="str">
            <v>42582IRELAND</v>
          </cell>
          <cell r="D793" t="str">
            <v>EUR8</v>
          </cell>
          <cell r="E793">
            <v>3.3352315657809752</v>
          </cell>
          <cell r="G793" t="str">
            <v>IRELAND</v>
          </cell>
          <cell r="H793">
            <v>4</v>
          </cell>
        </row>
        <row r="794">
          <cell r="B794" t="str">
            <v>42582EUR9</v>
          </cell>
          <cell r="C794" t="str">
            <v>42582ITALY</v>
          </cell>
          <cell r="D794" t="str">
            <v>EUR9</v>
          </cell>
          <cell r="E794">
            <v>3.3352315657809752</v>
          </cell>
          <cell r="G794" t="str">
            <v>ITALY</v>
          </cell>
          <cell r="H794">
            <v>4</v>
          </cell>
        </row>
        <row r="795">
          <cell r="B795" t="str">
            <v>42582EUR10</v>
          </cell>
          <cell r="C795" t="str">
            <v>42582LATVIA</v>
          </cell>
          <cell r="D795" t="str">
            <v>EUR10</v>
          </cell>
          <cell r="E795">
            <v>3.3352315657809752</v>
          </cell>
          <cell r="G795" t="str">
            <v>LATVIA</v>
          </cell>
          <cell r="H795">
            <v>5</v>
          </cell>
        </row>
        <row r="796">
          <cell r="B796" t="str">
            <v>42582EUR11</v>
          </cell>
          <cell r="C796" t="str">
            <v>42582LUXEMBOURG</v>
          </cell>
          <cell r="D796" t="str">
            <v>EUR11</v>
          </cell>
          <cell r="E796">
            <v>3.3352315657809752</v>
          </cell>
          <cell r="G796" t="str">
            <v>LUXEMBOURG</v>
          </cell>
          <cell r="H796">
            <v>4</v>
          </cell>
        </row>
        <row r="797">
          <cell r="B797" t="str">
            <v>42582EUR12</v>
          </cell>
          <cell r="C797" t="str">
            <v>42582MALTA</v>
          </cell>
          <cell r="D797" t="str">
            <v>EUR12</v>
          </cell>
          <cell r="E797">
            <v>3.3352315657809752</v>
          </cell>
          <cell r="G797" t="str">
            <v>MALTA</v>
          </cell>
          <cell r="H797">
            <v>5</v>
          </cell>
        </row>
        <row r="798">
          <cell r="B798" t="str">
            <v>42582EUR13</v>
          </cell>
          <cell r="C798" t="str">
            <v>42582MONTENEGRO</v>
          </cell>
          <cell r="D798" t="str">
            <v>EUR13</v>
          </cell>
          <cell r="E798">
            <v>3.3352315657809752</v>
          </cell>
          <cell r="G798" t="str">
            <v>MONTENEGRO</v>
          </cell>
          <cell r="H798">
            <v>5</v>
          </cell>
        </row>
        <row r="799">
          <cell r="B799" t="str">
            <v>42582EUR14</v>
          </cell>
          <cell r="C799" t="str">
            <v>42582NETHERLANDS</v>
          </cell>
          <cell r="D799" t="str">
            <v>EUR14</v>
          </cell>
          <cell r="E799">
            <v>3.3352315657809752</v>
          </cell>
          <cell r="G799" t="str">
            <v>NETHERLANDS</v>
          </cell>
          <cell r="H799">
            <v>4</v>
          </cell>
        </row>
        <row r="800">
          <cell r="B800" t="str">
            <v>42582EUR15</v>
          </cell>
          <cell r="C800" t="str">
            <v>42582PORTUGAL</v>
          </cell>
          <cell r="D800" t="str">
            <v>EUR15</v>
          </cell>
          <cell r="E800">
            <v>3.3352315657809752</v>
          </cell>
          <cell r="G800" t="str">
            <v>PORTUGAL</v>
          </cell>
          <cell r="H800">
            <v>4</v>
          </cell>
        </row>
        <row r="801">
          <cell r="B801" t="str">
            <v>42582EUR16</v>
          </cell>
          <cell r="C801" t="str">
            <v>42582SLOVAKIA</v>
          </cell>
          <cell r="D801" t="str">
            <v>EUR16</v>
          </cell>
          <cell r="E801">
            <v>3.3352315657809752</v>
          </cell>
          <cell r="G801" t="str">
            <v>SLOVAKIA</v>
          </cell>
          <cell r="H801">
            <v>5</v>
          </cell>
        </row>
        <row r="802">
          <cell r="B802" t="str">
            <v>42582EUR17</v>
          </cell>
          <cell r="C802" t="str">
            <v>42582SLOVENIA</v>
          </cell>
          <cell r="D802" t="str">
            <v>EUR17</v>
          </cell>
          <cell r="E802">
            <v>3.3352315657809752</v>
          </cell>
          <cell r="G802" t="str">
            <v>SLOVENIA</v>
          </cell>
          <cell r="H802">
            <v>5</v>
          </cell>
        </row>
        <row r="803">
          <cell r="B803" t="str">
            <v>42582EUR18</v>
          </cell>
          <cell r="C803" t="str">
            <v>42582SPAIN</v>
          </cell>
          <cell r="D803" t="str">
            <v>EUR18</v>
          </cell>
          <cell r="E803">
            <v>3.3352315657809752</v>
          </cell>
          <cell r="G803" t="str">
            <v>SPAIN</v>
          </cell>
          <cell r="H803">
            <v>4</v>
          </cell>
        </row>
        <row r="804">
          <cell r="B804" t="str">
            <v>42582Eastern European Institutions</v>
          </cell>
          <cell r="C804" t="str">
            <v>42582Eastern European Institutions</v>
          </cell>
          <cell r="D804" t="str">
            <v>Eastern European Institutions</v>
          </cell>
          <cell r="E804">
            <v>2.25</v>
          </cell>
          <cell r="G804" t="str">
            <v>Eastern European Institutions</v>
          </cell>
          <cell r="H804">
            <v>5</v>
          </cell>
        </row>
        <row r="805">
          <cell r="B805" t="str">
            <v>42613AED</v>
          </cell>
          <cell r="C805" t="str">
            <v>42613U. A. E.</v>
          </cell>
          <cell r="D805" t="str">
            <v>AED</v>
          </cell>
          <cell r="E805">
            <v>5.3453380422483523</v>
          </cell>
          <cell r="F805">
            <v>1.9604721000000001</v>
          </cell>
          <cell r="G805" t="str">
            <v>U. A. E.</v>
          </cell>
          <cell r="H805">
            <v>5</v>
          </cell>
        </row>
        <row r="806">
          <cell r="B806" t="str">
            <v>42613ARS</v>
          </cell>
          <cell r="C806" t="str">
            <v>42613ARGENTINA</v>
          </cell>
          <cell r="D806" t="str">
            <v>ARS</v>
          </cell>
          <cell r="E806">
            <v>19.107526406875035</v>
          </cell>
          <cell r="F806">
            <v>27.826886999999999</v>
          </cell>
          <cell r="G806" t="str">
            <v>ARGENTINA</v>
          </cell>
          <cell r="H806">
            <v>5</v>
          </cell>
        </row>
        <row r="807">
          <cell r="B807" t="str">
            <v>42613AUD</v>
          </cell>
          <cell r="C807" t="str">
            <v>42613AUSTRALIA</v>
          </cell>
          <cell r="D807" t="str">
            <v>AUD</v>
          </cell>
          <cell r="E807">
            <v>4.6412929023544471</v>
          </cell>
          <cell r="F807">
            <v>1.8874485000000001</v>
          </cell>
          <cell r="G807" t="str">
            <v>AUSTRALIA</v>
          </cell>
          <cell r="H807">
            <v>4.7278011559491251</v>
          </cell>
        </row>
        <row r="808">
          <cell r="B808" t="str">
            <v>42613BDT</v>
          </cell>
          <cell r="C808" t="str">
            <v>42613BANGLADESH</v>
          </cell>
          <cell r="D808" t="str">
            <v>BDT</v>
          </cell>
          <cell r="E808">
            <v>8.7282761424205138</v>
          </cell>
          <cell r="F808">
            <v>6.0999993999999997</v>
          </cell>
          <cell r="G808" t="str">
            <v>BANGLADESH</v>
          </cell>
          <cell r="H808">
            <v>5</v>
          </cell>
        </row>
        <row r="809">
          <cell r="B809" t="str">
            <v>42613BRL</v>
          </cell>
          <cell r="C809" t="str">
            <v>42613BRAZIL</v>
          </cell>
          <cell r="D809" t="str">
            <v>BRL</v>
          </cell>
          <cell r="E809">
            <v>8.3315082513534957</v>
          </cell>
          <cell r="F809">
            <v>5.9242860000000004</v>
          </cell>
          <cell r="G809" t="str">
            <v>BRAZIL</v>
          </cell>
          <cell r="H809">
            <v>6</v>
          </cell>
        </row>
        <row r="810">
          <cell r="B810" t="str">
            <v>42613BWP</v>
          </cell>
          <cell r="C810" t="str">
            <v>42613BOTSWANA</v>
          </cell>
          <cell r="D810" t="str">
            <v>BWP</v>
          </cell>
          <cell r="E810">
            <v>6.1094488488926215</v>
          </cell>
          <cell r="F810">
            <v>3.5166666666666666</v>
          </cell>
          <cell r="G810" t="str">
            <v>BOTSWANA</v>
          </cell>
          <cell r="H810">
            <v>5</v>
          </cell>
        </row>
        <row r="811">
          <cell r="B811" t="str">
            <v>42613CAD</v>
          </cell>
          <cell r="C811" t="str">
            <v>42613CANADA</v>
          </cell>
          <cell r="D811" t="str">
            <v>CAD</v>
          </cell>
          <cell r="E811">
            <v>4.0966815822429039</v>
          </cell>
          <cell r="F811">
            <v>1.9837591999999999</v>
          </cell>
          <cell r="G811" t="str">
            <v>CANADA</v>
          </cell>
          <cell r="H811">
            <v>4</v>
          </cell>
        </row>
        <row r="812">
          <cell r="B812" t="str">
            <v>42613CHF</v>
          </cell>
          <cell r="C812" t="str">
            <v>42613SWITZERLAND</v>
          </cell>
          <cell r="D812" t="str">
            <v>CHF</v>
          </cell>
          <cell r="E812">
            <v>2.6195261958107432</v>
          </cell>
          <cell r="F812">
            <v>1.2775496000000001E-2</v>
          </cell>
          <cell r="G812" t="str">
            <v>SWITZERLAND</v>
          </cell>
          <cell r="H812">
            <v>4</v>
          </cell>
        </row>
        <row r="813">
          <cell r="B813" t="str">
            <v>42613CLP</v>
          </cell>
          <cell r="C813" t="str">
            <v>42613CHILE</v>
          </cell>
          <cell r="D813" t="str">
            <v>CLP</v>
          </cell>
          <cell r="E813">
            <v>5.4691179143838733</v>
          </cell>
          <cell r="F813">
            <v>3.1968380999999999</v>
          </cell>
          <cell r="G813" t="str">
            <v>CHILE</v>
          </cell>
          <cell r="H813">
            <v>5</v>
          </cell>
        </row>
        <row r="814">
          <cell r="B814" t="str">
            <v>42613CNY</v>
          </cell>
          <cell r="C814" t="str">
            <v>42613CHINA</v>
          </cell>
          <cell r="D814" t="str">
            <v>CNY</v>
          </cell>
          <cell r="E814">
            <v>4.5690940583035724</v>
          </cell>
          <cell r="F814">
            <v>1.971395</v>
          </cell>
          <cell r="G814" t="str">
            <v>CHINA</v>
          </cell>
          <cell r="H814">
            <v>5</v>
          </cell>
        </row>
        <row r="815">
          <cell r="B815" t="str">
            <v>42613COP</v>
          </cell>
          <cell r="C815" t="str">
            <v>42613COLOMBIA</v>
          </cell>
          <cell r="D815" t="str">
            <v>COP</v>
          </cell>
          <cell r="E815">
            <v>6.1921648305771662</v>
          </cell>
          <cell r="F815">
            <v>4.9331389999999997</v>
          </cell>
          <cell r="G815" t="str">
            <v>COLOMBIA</v>
          </cell>
          <cell r="H815">
            <v>5</v>
          </cell>
        </row>
        <row r="816">
          <cell r="B816" t="str">
            <v>42613CZK</v>
          </cell>
          <cell r="C816" t="str">
            <v>42613CZECH REPUBLIC</v>
          </cell>
          <cell r="D816" t="str">
            <v>CZK</v>
          </cell>
          <cell r="E816">
            <v>4.0937457684019609</v>
          </cell>
          <cell r="F816">
            <v>1.3538680000000001</v>
          </cell>
          <cell r="G816" t="str">
            <v>CZECH REPUBLIC</v>
          </cell>
          <cell r="H816">
            <v>5</v>
          </cell>
        </row>
        <row r="817">
          <cell r="B817" t="str">
            <v>42613DKK</v>
          </cell>
          <cell r="C817" t="str">
            <v>42613DENMARK</v>
          </cell>
          <cell r="D817" t="str">
            <v>DKK</v>
          </cell>
          <cell r="E817">
            <v>3.8290055275646475</v>
          </cell>
          <cell r="F817">
            <v>1.0194217999999999</v>
          </cell>
          <cell r="G817" t="str">
            <v>DENMARK</v>
          </cell>
          <cell r="H817">
            <v>4</v>
          </cell>
        </row>
        <row r="818">
          <cell r="B818" t="str">
            <v>42613EGP</v>
          </cell>
          <cell r="C818" t="str">
            <v>42613EGYPT</v>
          </cell>
          <cell r="D818" t="str">
            <v>EGP</v>
          </cell>
          <cell r="E818">
            <v>10.752482653679188</v>
          </cell>
          <cell r="F818">
            <v>11.586425</v>
          </cell>
          <cell r="G818" t="str">
            <v>EGYPT</v>
          </cell>
          <cell r="H818">
            <v>6</v>
          </cell>
        </row>
        <row r="819">
          <cell r="B819" t="str">
            <v>42613EUR</v>
          </cell>
          <cell r="C819" t="str">
            <v>42613AUSTRIA</v>
          </cell>
          <cell r="D819" t="str">
            <v>EUR</v>
          </cell>
          <cell r="E819">
            <v>3.3352315657809752</v>
          </cell>
          <cell r="F819">
            <v>0.78922235000000007</v>
          </cell>
          <cell r="G819" t="str">
            <v>AUSTRIA</v>
          </cell>
          <cell r="H819">
            <v>4</v>
          </cell>
        </row>
        <row r="820">
          <cell r="B820" t="str">
            <v>42613GBP</v>
          </cell>
          <cell r="C820" t="str">
            <v>42613UNITED KINGDOM</v>
          </cell>
          <cell r="D820" t="str">
            <v>GBP</v>
          </cell>
          <cell r="E820">
            <v>3.9790644837374192</v>
          </cell>
          <cell r="F820">
            <v>1.8451185999999999</v>
          </cell>
          <cell r="G820" t="str">
            <v>UNITED KINGDOM</v>
          </cell>
          <cell r="H820">
            <v>4</v>
          </cell>
        </row>
        <row r="821">
          <cell r="B821" t="str">
            <v>42613GEL</v>
          </cell>
          <cell r="C821" t="str">
            <v>42613GEORGIA</v>
          </cell>
          <cell r="D821" t="str">
            <v>GEL</v>
          </cell>
          <cell r="E821">
            <v>5.910453326152191</v>
          </cell>
          <cell r="F821">
            <v>4.4293333333333331</v>
          </cell>
          <cell r="G821" t="str">
            <v>GEORGIA</v>
          </cell>
          <cell r="H821">
            <v>5</v>
          </cell>
        </row>
        <row r="822">
          <cell r="B822" t="str">
            <v>42613HKD</v>
          </cell>
          <cell r="C822" t="str">
            <v>42613HONG KONG</v>
          </cell>
          <cell r="D822" t="str">
            <v>HKD</v>
          </cell>
          <cell r="E822">
            <v>4.9499026289057593</v>
          </cell>
          <cell r="F822">
            <v>1.9604721000000001</v>
          </cell>
          <cell r="G822" t="str">
            <v>HONG KONG</v>
          </cell>
          <cell r="H822">
            <v>4.1191914293978131</v>
          </cell>
        </row>
        <row r="823">
          <cell r="B823" t="str">
            <v>42613GHS</v>
          </cell>
          <cell r="C823" t="str">
            <v>42613GHANA</v>
          </cell>
          <cell r="D823" t="str">
            <v>GHS</v>
          </cell>
          <cell r="E823">
            <v>10.805142402828974</v>
          </cell>
          <cell r="F823">
            <v>11.145</v>
          </cell>
          <cell r="G823" t="str">
            <v>GHANA</v>
          </cell>
          <cell r="H823">
            <v>5</v>
          </cell>
        </row>
        <row r="824">
          <cell r="B824" t="str">
            <v>42613HRK</v>
          </cell>
          <cell r="C824" t="str">
            <v>42613CROATIA</v>
          </cell>
          <cell r="D824" t="str">
            <v>HRK</v>
          </cell>
          <cell r="E824">
            <v>3.7135338084439065</v>
          </cell>
          <cell r="F824">
            <v>1.0173333333333334</v>
          </cell>
          <cell r="G824" t="str">
            <v>CROATIA</v>
          </cell>
          <cell r="H824">
            <v>5</v>
          </cell>
        </row>
        <row r="825">
          <cell r="B825" t="str">
            <v>42613HUF</v>
          </cell>
          <cell r="C825" t="str">
            <v>42613HUNGARY</v>
          </cell>
          <cell r="D825" t="str">
            <v>HUF</v>
          </cell>
          <cell r="E825">
            <v>4.5059285274373009</v>
          </cell>
          <cell r="F825">
            <v>1.4272065</v>
          </cell>
          <cell r="G825" t="str">
            <v>HUNGARY</v>
          </cell>
          <cell r="H825">
            <v>5</v>
          </cell>
        </row>
        <row r="826">
          <cell r="B826" t="str">
            <v>42613IDR</v>
          </cell>
          <cell r="C826" t="str">
            <v>42613INDONESIA</v>
          </cell>
          <cell r="D826" t="str">
            <v>IDR</v>
          </cell>
          <cell r="E826">
            <v>6.5665248781261489</v>
          </cell>
          <cell r="F826">
            <v>4.3727837000000003</v>
          </cell>
          <cell r="G826" t="str">
            <v>INDONESIA</v>
          </cell>
          <cell r="H826">
            <v>5</v>
          </cell>
        </row>
        <row r="827">
          <cell r="B827" t="str">
            <v>42613ILS</v>
          </cell>
          <cell r="C827" t="str">
            <v>42613ISRAEL</v>
          </cell>
          <cell r="D827" t="str">
            <v>ILS</v>
          </cell>
          <cell r="E827">
            <v>3.5188753800549346</v>
          </cell>
          <cell r="F827">
            <v>0.80518376999999997</v>
          </cell>
          <cell r="G827" t="str">
            <v>ISRAEL</v>
          </cell>
          <cell r="H827">
            <v>4</v>
          </cell>
        </row>
        <row r="828">
          <cell r="B828" t="str">
            <v>42613INR</v>
          </cell>
          <cell r="C828" t="str">
            <v>42613INDIA</v>
          </cell>
          <cell r="D828" t="str">
            <v>INR</v>
          </cell>
          <cell r="E828">
            <v>7.5524751613458765</v>
          </cell>
          <cell r="F828">
            <v>5.1676216000000004</v>
          </cell>
          <cell r="G828" t="str">
            <v>INDIA</v>
          </cell>
          <cell r="H828">
            <v>5</v>
          </cell>
        </row>
        <row r="829">
          <cell r="B829" t="str">
            <v>42613IQD</v>
          </cell>
          <cell r="C829" t="str">
            <v>42613IRAQ</v>
          </cell>
          <cell r="D829" t="str">
            <v>IQD</v>
          </cell>
          <cell r="E829">
            <v>4.2500000000000018</v>
          </cell>
          <cell r="F829">
            <v>2</v>
          </cell>
          <cell r="G829" t="str">
            <v>IRAQ</v>
          </cell>
          <cell r="H829">
            <v>5</v>
          </cell>
        </row>
        <row r="830">
          <cell r="B830" t="str">
            <v>42613JPY</v>
          </cell>
          <cell r="C830" t="str">
            <v>42613JAPAN</v>
          </cell>
          <cell r="D830" t="str">
            <v>JPY</v>
          </cell>
          <cell r="E830">
            <v>3.0365726764600511</v>
          </cell>
          <cell r="F830">
            <v>0.34985650000000001</v>
          </cell>
          <cell r="G830" t="str">
            <v>JAPAN</v>
          </cell>
          <cell r="H830">
            <v>4</v>
          </cell>
        </row>
        <row r="831">
          <cell r="B831" t="str">
            <v>42613KES</v>
          </cell>
          <cell r="C831" t="str">
            <v>42613KENYA</v>
          </cell>
          <cell r="D831" t="str">
            <v>KES</v>
          </cell>
          <cell r="E831">
            <v>7.7087896811692405</v>
          </cell>
          <cell r="F831">
            <v>6.070666666666666</v>
          </cell>
          <cell r="G831" t="str">
            <v>KENYA</v>
          </cell>
          <cell r="H831">
            <v>5</v>
          </cell>
        </row>
        <row r="832">
          <cell r="B832" t="str">
            <v>42613KHR</v>
          </cell>
          <cell r="C832" t="str">
            <v>42613CAMBODIA</v>
          </cell>
          <cell r="D832" t="str">
            <v>KHR</v>
          </cell>
          <cell r="E832">
            <v>5.0607390049122216</v>
          </cell>
          <cell r="F832">
            <v>2.5966666666666667</v>
          </cell>
          <cell r="G832" t="str">
            <v>CAMBODIA</v>
          </cell>
          <cell r="H832">
            <v>5</v>
          </cell>
        </row>
        <row r="833">
          <cell r="B833" t="str">
            <v>42613KRW</v>
          </cell>
          <cell r="C833" t="str">
            <v>42613KOREA SOUTH(REPUBLIC OF KOREA)</v>
          </cell>
          <cell r="D833" t="str">
            <v>KRW</v>
          </cell>
          <cell r="E833">
            <v>4.1596838783537295</v>
          </cell>
          <cell r="F833">
            <v>1.3790001999999999</v>
          </cell>
          <cell r="G833" t="str">
            <v>KOREA SOUTH(REPUBLIC OF KOREA)</v>
          </cell>
          <cell r="H833">
            <v>5</v>
          </cell>
        </row>
        <row r="834">
          <cell r="B834" t="str">
            <v>42613KWD</v>
          </cell>
          <cell r="C834" t="str">
            <v>42613KUWAIT</v>
          </cell>
          <cell r="D834" t="str">
            <v>KWD</v>
          </cell>
          <cell r="E834">
            <v>5.7499806763212904</v>
          </cell>
          <cell r="F834">
            <v>3.4666666666666663</v>
          </cell>
          <cell r="G834" t="str">
            <v>KUWAIT</v>
          </cell>
          <cell r="H834">
            <v>5</v>
          </cell>
        </row>
        <row r="835">
          <cell r="B835" t="str">
            <v>42613LKR</v>
          </cell>
          <cell r="C835" t="str">
            <v>42613SRI LANKA</v>
          </cell>
          <cell r="D835" t="str">
            <v>LKR</v>
          </cell>
          <cell r="E835">
            <v>6.8375902073245989</v>
          </cell>
          <cell r="F835">
            <v>4.6666670000000003</v>
          </cell>
          <cell r="G835" t="str">
            <v>SRI LANKA</v>
          </cell>
          <cell r="H835">
            <v>5</v>
          </cell>
        </row>
        <row r="836">
          <cell r="B836" t="str">
            <v>42613KZT</v>
          </cell>
          <cell r="C836" t="str">
            <v>42613KAZAKHSTAN</v>
          </cell>
          <cell r="D836" t="str">
            <v>KZT</v>
          </cell>
          <cell r="E836">
            <v>11.702472282512669</v>
          </cell>
          <cell r="F836">
            <v>10.531999999999998</v>
          </cell>
          <cell r="G836" t="str">
            <v>KAZAKHSTAN</v>
          </cell>
          <cell r="H836">
            <v>5</v>
          </cell>
        </row>
        <row r="837">
          <cell r="B837" t="str">
            <v>42613MAD</v>
          </cell>
          <cell r="C837" t="str">
            <v>42613MOROCCO</v>
          </cell>
          <cell r="D837" t="str">
            <v>MAD</v>
          </cell>
          <cell r="E837">
            <v>4.1498033428810901</v>
          </cell>
          <cell r="F837">
            <v>1.8333333333333333</v>
          </cell>
          <cell r="G837" t="str">
            <v>MOROCCO</v>
          </cell>
          <cell r="H837">
            <v>5</v>
          </cell>
        </row>
        <row r="838">
          <cell r="B838" t="str">
            <v>42613MXN</v>
          </cell>
          <cell r="C838" t="str">
            <v>42613MEXICO</v>
          </cell>
          <cell r="D838" t="str">
            <v>MXN</v>
          </cell>
          <cell r="E838">
            <v>5.2343901670048023</v>
          </cell>
          <cell r="F838">
            <v>3.3964509999999999</v>
          </cell>
          <cell r="G838" t="str">
            <v>MEXICO</v>
          </cell>
          <cell r="H838">
            <v>5</v>
          </cell>
        </row>
        <row r="839">
          <cell r="B839" t="str">
            <v>42613MYR</v>
          </cell>
          <cell r="C839" t="str">
            <v>42613MALAYSIA</v>
          </cell>
          <cell r="D839" t="str">
            <v>MYR</v>
          </cell>
          <cell r="E839">
            <v>5.2525698562266889</v>
          </cell>
          <cell r="F839">
            <v>2.4989110999999999</v>
          </cell>
          <cell r="G839" t="str">
            <v>MALAYSIA</v>
          </cell>
          <cell r="H839">
            <v>5</v>
          </cell>
        </row>
        <row r="840">
          <cell r="B840" t="str">
            <v>42613NGN</v>
          </cell>
          <cell r="C840" t="str">
            <v>42613NIGERIA</v>
          </cell>
          <cell r="D840" t="str">
            <v>NGN</v>
          </cell>
          <cell r="E840">
            <v>13.288855732504228</v>
          </cell>
          <cell r="F840">
            <v>13.440246</v>
          </cell>
          <cell r="G840" t="str">
            <v>NIGERIA</v>
          </cell>
          <cell r="H840">
            <v>7</v>
          </cell>
        </row>
        <row r="841">
          <cell r="B841" t="str">
            <v>42613NOK</v>
          </cell>
          <cell r="C841" t="str">
            <v>42613NORWAY</v>
          </cell>
          <cell r="D841" t="str">
            <v>NOK</v>
          </cell>
          <cell r="E841">
            <v>4.8099298792005287</v>
          </cell>
          <cell r="F841">
            <v>2.3958629999999999</v>
          </cell>
          <cell r="G841" t="str">
            <v>NORWAY</v>
          </cell>
          <cell r="H841">
            <v>4</v>
          </cell>
        </row>
        <row r="842">
          <cell r="B842" t="str">
            <v>42613NZD</v>
          </cell>
          <cell r="C842" t="str">
            <v>42613NEW ZEALAND</v>
          </cell>
          <cell r="D842" t="str">
            <v>NZD</v>
          </cell>
          <cell r="E842">
            <v>4.1218182331383115</v>
          </cell>
          <cell r="F842">
            <v>1.2808752000000001</v>
          </cell>
          <cell r="G842" t="str">
            <v>NEW ZEALAND</v>
          </cell>
          <cell r="H842">
            <v>5.2472758251652607</v>
          </cell>
        </row>
        <row r="843">
          <cell r="B843" t="str">
            <v>42613OMR</v>
          </cell>
          <cell r="C843" t="str">
            <v>42613OMAN</v>
          </cell>
          <cell r="D843" t="str">
            <v>OMR</v>
          </cell>
          <cell r="E843">
            <v>4.5676919352295267</v>
          </cell>
          <cell r="F843">
            <v>1.9604721000000001</v>
          </cell>
          <cell r="G843" t="str">
            <v>OMAN</v>
          </cell>
          <cell r="H843">
            <v>5</v>
          </cell>
        </row>
        <row r="844">
          <cell r="B844" t="str">
            <v>42613PEN</v>
          </cell>
          <cell r="C844" t="str">
            <v>42613PERU</v>
          </cell>
          <cell r="D844" t="str">
            <v>PEN</v>
          </cell>
          <cell r="E844">
            <v>4.8597231110706831</v>
          </cell>
          <cell r="F844">
            <v>2.8399713000000002</v>
          </cell>
          <cell r="G844" t="str">
            <v>PERU</v>
          </cell>
          <cell r="H844">
            <v>5</v>
          </cell>
        </row>
        <row r="845">
          <cell r="B845" t="str">
            <v>42613PHP</v>
          </cell>
          <cell r="C845" t="str">
            <v>42613PHILIPPINES</v>
          </cell>
          <cell r="D845" t="str">
            <v>PHP</v>
          </cell>
          <cell r="E845">
            <v>5.4239029788509177</v>
          </cell>
          <cell r="F845">
            <v>2.5468384999999998</v>
          </cell>
          <cell r="G845" t="str">
            <v>PHILIPPINES</v>
          </cell>
          <cell r="H845">
            <v>5</v>
          </cell>
        </row>
        <row r="846">
          <cell r="B846" t="str">
            <v>42613PKR</v>
          </cell>
          <cell r="C846" t="str">
            <v>42613PAKISTAN</v>
          </cell>
          <cell r="D846" t="str">
            <v>PKR</v>
          </cell>
          <cell r="E846">
            <v>6.9044641685775101</v>
          </cell>
          <cell r="F846">
            <v>4.6666664999999998</v>
          </cell>
          <cell r="G846" t="str">
            <v>PAKISTAN</v>
          </cell>
          <cell r="H846">
            <v>5</v>
          </cell>
        </row>
        <row r="847">
          <cell r="B847" t="str">
            <v>42613PLN</v>
          </cell>
          <cell r="C847" t="str">
            <v>42613POLAND</v>
          </cell>
          <cell r="D847" t="str">
            <v>PLN</v>
          </cell>
          <cell r="E847">
            <v>3.8412361073600501</v>
          </cell>
          <cell r="F847">
            <v>0.73511269999999995</v>
          </cell>
          <cell r="G847" t="str">
            <v>POLAND</v>
          </cell>
          <cell r="H847">
            <v>5</v>
          </cell>
        </row>
        <row r="848">
          <cell r="B848" t="str">
            <v>42613QAR</v>
          </cell>
          <cell r="C848" t="str">
            <v>42613QATAR</v>
          </cell>
          <cell r="D848" t="str">
            <v>QAR</v>
          </cell>
          <cell r="E848">
            <v>4.8306558369726673</v>
          </cell>
          <cell r="F848">
            <v>1.9604721000000001</v>
          </cell>
          <cell r="G848" t="str">
            <v>QATAR</v>
          </cell>
          <cell r="H848">
            <v>5</v>
          </cell>
        </row>
        <row r="849">
          <cell r="B849" t="str">
            <v>42613RON</v>
          </cell>
          <cell r="C849" t="str">
            <v>42613ROMANIA</v>
          </cell>
          <cell r="D849" t="str">
            <v>RON</v>
          </cell>
          <cell r="E849">
            <v>4.4405714184492275</v>
          </cell>
          <cell r="F849">
            <v>1.0105028</v>
          </cell>
          <cell r="G849" t="str">
            <v>ROMANIA</v>
          </cell>
          <cell r="H849">
            <v>5</v>
          </cell>
        </row>
        <row r="850">
          <cell r="B850" t="str">
            <v>42613RUB</v>
          </cell>
          <cell r="C850" t="str">
            <v>42613RUSSIAN FEDERATION</v>
          </cell>
          <cell r="D850" t="str">
            <v>RUB</v>
          </cell>
          <cell r="E850">
            <v>7.8008643879939701</v>
          </cell>
          <cell r="F850">
            <v>5.6385344999999996</v>
          </cell>
          <cell r="G850" t="str">
            <v>RUSSIAN FEDERATION</v>
          </cell>
          <cell r="H850">
            <v>5</v>
          </cell>
        </row>
        <row r="851">
          <cell r="B851" t="str">
            <v>42613SAR</v>
          </cell>
          <cell r="C851" t="str">
            <v>42613SAUDI ARABIA</v>
          </cell>
          <cell r="D851" t="str">
            <v>SAR</v>
          </cell>
          <cell r="E851">
            <v>4.337047402578035</v>
          </cell>
          <cell r="F851">
            <v>1.9604721000000001</v>
          </cell>
          <cell r="G851" t="str">
            <v>SAUDI ARABIA</v>
          </cell>
          <cell r="H851">
            <v>5</v>
          </cell>
        </row>
        <row r="852">
          <cell r="B852" t="str">
            <v>42613SEK</v>
          </cell>
          <cell r="C852" t="str">
            <v>42613SWEDEN</v>
          </cell>
          <cell r="D852" t="str">
            <v>SEK</v>
          </cell>
          <cell r="E852">
            <v>3.95556669639228</v>
          </cell>
          <cell r="F852">
            <v>1.3456087000000001</v>
          </cell>
          <cell r="G852" t="str">
            <v>SWEDEN</v>
          </cell>
          <cell r="H852">
            <v>4</v>
          </cell>
        </row>
        <row r="853">
          <cell r="B853" t="str">
            <v>42613SGD</v>
          </cell>
          <cell r="C853" t="str">
            <v>42613SINGAPORE</v>
          </cell>
          <cell r="D853" t="str">
            <v>SGD</v>
          </cell>
          <cell r="E853">
            <v>3.6997334185961774</v>
          </cell>
          <cell r="F853">
            <v>0.44620985000000002</v>
          </cell>
          <cell r="G853" t="str">
            <v>SINGAPORE</v>
          </cell>
          <cell r="H853">
            <v>5</v>
          </cell>
        </row>
        <row r="854">
          <cell r="B854" t="str">
            <v>42613TZS</v>
          </cell>
          <cell r="C854" t="str">
            <v>42613TANZANIA, UNITED REPUBLIC OF</v>
          </cell>
          <cell r="D854" t="str">
            <v>TZS</v>
          </cell>
          <cell r="E854">
            <v>7.5254565064652592</v>
          </cell>
          <cell r="F854">
            <v>5.4083333333333332</v>
          </cell>
          <cell r="G854" t="str">
            <v>TANZANIA, UNITED REPUBLIC OF</v>
          </cell>
          <cell r="H854">
            <v>5</v>
          </cell>
        </row>
        <row r="855">
          <cell r="B855" t="str">
            <v>42613THB</v>
          </cell>
          <cell r="C855" t="str">
            <v>42613THAILAND</v>
          </cell>
          <cell r="D855" t="str">
            <v>THB</v>
          </cell>
          <cell r="E855">
            <v>3.9363951916817888</v>
          </cell>
          <cell r="F855">
            <v>1.4256802</v>
          </cell>
          <cell r="G855" t="str">
            <v>THAILAND</v>
          </cell>
          <cell r="H855">
            <v>5.7633382269143887</v>
          </cell>
        </row>
        <row r="856">
          <cell r="B856" t="str">
            <v>42613TRY</v>
          </cell>
          <cell r="C856" t="str">
            <v>42613TURKEY</v>
          </cell>
          <cell r="D856" t="str">
            <v>TRY</v>
          </cell>
          <cell r="E856">
            <v>10.122130135132704</v>
          </cell>
          <cell r="F856">
            <v>7.8007517000000002</v>
          </cell>
          <cell r="G856" t="str">
            <v>TURKEY</v>
          </cell>
          <cell r="H856">
            <v>6</v>
          </cell>
        </row>
        <row r="857">
          <cell r="B857" t="str">
            <v>42613TWD</v>
          </cell>
          <cell r="C857" t="str">
            <v>42613TAIWAN</v>
          </cell>
          <cell r="D857" t="str">
            <v>TWD</v>
          </cell>
          <cell r="E857">
            <v>3.5293203653624907</v>
          </cell>
          <cell r="F857">
            <v>1.0997535000000001</v>
          </cell>
          <cell r="G857" t="str">
            <v>TAIWAN</v>
          </cell>
          <cell r="H857">
            <v>5</v>
          </cell>
        </row>
        <row r="858">
          <cell r="B858" t="str">
            <v>42613UAH</v>
          </cell>
          <cell r="C858" t="str">
            <v>42613UKRAINE</v>
          </cell>
          <cell r="D858" t="str">
            <v>UAH</v>
          </cell>
          <cell r="E858">
            <v>11.41857511931315</v>
          </cell>
          <cell r="F858">
            <v>11.722197</v>
          </cell>
          <cell r="G858" t="str">
            <v>UKRAINE</v>
          </cell>
          <cell r="H858">
            <v>5</v>
          </cell>
        </row>
        <row r="859">
          <cell r="B859" t="str">
            <v>42613USD</v>
          </cell>
          <cell r="C859" t="str">
            <v>42613UNITED STATES</v>
          </cell>
          <cell r="D859" t="str">
            <v>USD</v>
          </cell>
          <cell r="E859">
            <v>3.7543520469065319</v>
          </cell>
          <cell r="F859">
            <v>1.9604721000000001</v>
          </cell>
          <cell r="G859" t="str">
            <v>UNITED STATES</v>
          </cell>
          <cell r="H859">
            <v>4</v>
          </cell>
        </row>
        <row r="860">
          <cell r="B860" t="str">
            <v>42613VND</v>
          </cell>
          <cell r="C860" t="str">
            <v>42613VIET NAM</v>
          </cell>
          <cell r="D860" t="str">
            <v>VND</v>
          </cell>
          <cell r="E860">
            <v>4.9860376606171855</v>
          </cell>
          <cell r="F860">
            <v>3.5666663999999999</v>
          </cell>
          <cell r="G860" t="str">
            <v>VIET NAM</v>
          </cell>
          <cell r="H860">
            <v>7.213695757978992</v>
          </cell>
        </row>
        <row r="861">
          <cell r="B861" t="str">
            <v>42613ZAR</v>
          </cell>
          <cell r="C861" t="str">
            <v>42613SOUTH AFRICA</v>
          </cell>
          <cell r="D861" t="str">
            <v>ZAR</v>
          </cell>
          <cell r="E861">
            <v>8.1587023123335349</v>
          </cell>
          <cell r="F861">
            <v>6.30783</v>
          </cell>
          <cell r="G861" t="str">
            <v>SOUTH AFRICA</v>
          </cell>
          <cell r="H861">
            <v>5</v>
          </cell>
        </row>
        <row r="862">
          <cell r="B862" t="str">
            <v>42613EUR1</v>
          </cell>
          <cell r="C862" t="str">
            <v>42613BELGIUM</v>
          </cell>
          <cell r="D862" t="str">
            <v>EUR1</v>
          </cell>
          <cell r="E862">
            <v>3.3352315657809752</v>
          </cell>
          <cell r="G862" t="str">
            <v>BELGIUM</v>
          </cell>
          <cell r="H862">
            <v>4</v>
          </cell>
        </row>
        <row r="863">
          <cell r="B863" t="str">
            <v>42613EUR2</v>
          </cell>
          <cell r="C863" t="str">
            <v>42613CYPRUS</v>
          </cell>
          <cell r="D863" t="str">
            <v>EUR2</v>
          </cell>
          <cell r="E863">
            <v>3.3352315657809752</v>
          </cell>
          <cell r="G863" t="str">
            <v>CYPRUS</v>
          </cell>
          <cell r="H863">
            <v>5</v>
          </cell>
        </row>
        <row r="864">
          <cell r="B864" t="str">
            <v>42613EUR3</v>
          </cell>
          <cell r="C864" t="str">
            <v>42613ESTONIA</v>
          </cell>
          <cell r="D864" t="str">
            <v>EUR3</v>
          </cell>
          <cell r="E864">
            <v>3.3352315657809752</v>
          </cell>
          <cell r="G864" t="str">
            <v>ESTONIA</v>
          </cell>
          <cell r="H864">
            <v>5</v>
          </cell>
        </row>
        <row r="865">
          <cell r="B865" t="str">
            <v>42613EUR4</v>
          </cell>
          <cell r="C865" t="str">
            <v>42613FINLAND</v>
          </cell>
          <cell r="D865" t="str">
            <v>EUR4</v>
          </cell>
          <cell r="E865">
            <v>3.3352315657809752</v>
          </cell>
          <cell r="G865" t="str">
            <v>FINLAND</v>
          </cell>
          <cell r="H865">
            <v>4</v>
          </cell>
        </row>
        <row r="866">
          <cell r="B866" t="str">
            <v>42613EUR5</v>
          </cell>
          <cell r="C866" t="str">
            <v>42613FRANCE</v>
          </cell>
          <cell r="D866" t="str">
            <v>EUR5</v>
          </cell>
          <cell r="E866">
            <v>3.3352315657809752</v>
          </cell>
          <cell r="G866" t="str">
            <v>FRANCE</v>
          </cell>
          <cell r="H866">
            <v>4</v>
          </cell>
        </row>
        <row r="867">
          <cell r="B867" t="str">
            <v>42613EUR6</v>
          </cell>
          <cell r="C867" t="str">
            <v>42613GERMANY</v>
          </cell>
          <cell r="D867" t="str">
            <v>EUR6</v>
          </cell>
          <cell r="E867">
            <v>3.3352315657809752</v>
          </cell>
          <cell r="G867" t="str">
            <v>GERMANY</v>
          </cell>
          <cell r="H867">
            <v>4.2730587794838035</v>
          </cell>
        </row>
        <row r="868">
          <cell r="B868" t="str">
            <v>42613EUR7</v>
          </cell>
          <cell r="C868" t="str">
            <v>42613GREECE</v>
          </cell>
          <cell r="D868" t="str">
            <v>EUR7</v>
          </cell>
          <cell r="E868">
            <v>3.3352315657809752</v>
          </cell>
          <cell r="G868" t="str">
            <v>GREECE</v>
          </cell>
          <cell r="H868">
            <v>10</v>
          </cell>
        </row>
        <row r="869">
          <cell r="B869" t="str">
            <v>42613EUR8</v>
          </cell>
          <cell r="C869" t="str">
            <v>42613IRELAND</v>
          </cell>
          <cell r="D869" t="str">
            <v>EUR8</v>
          </cell>
          <cell r="E869">
            <v>3.3352315657809752</v>
          </cell>
          <cell r="G869" t="str">
            <v>IRELAND</v>
          </cell>
          <cell r="H869">
            <v>4</v>
          </cell>
        </row>
        <row r="870">
          <cell r="B870" t="str">
            <v>42613EUR9</v>
          </cell>
          <cell r="C870" t="str">
            <v>42613ITALY</v>
          </cell>
          <cell r="D870" t="str">
            <v>EUR9</v>
          </cell>
          <cell r="E870">
            <v>3.3352315657809752</v>
          </cell>
          <cell r="G870" t="str">
            <v>ITALY</v>
          </cell>
          <cell r="H870">
            <v>4</v>
          </cell>
        </row>
        <row r="871">
          <cell r="B871" t="str">
            <v>42613EUR10</v>
          </cell>
          <cell r="C871" t="str">
            <v>42613LATVIA</v>
          </cell>
          <cell r="D871" t="str">
            <v>EUR10</v>
          </cell>
          <cell r="E871">
            <v>3.3352315657809752</v>
          </cell>
          <cell r="G871" t="str">
            <v>LATVIA</v>
          </cell>
          <cell r="H871">
            <v>5</v>
          </cell>
        </row>
        <row r="872">
          <cell r="B872" t="str">
            <v>42613EUR11</v>
          </cell>
          <cell r="C872" t="str">
            <v>42613LUXEMBOURG</v>
          </cell>
          <cell r="D872" t="str">
            <v>EUR11</v>
          </cell>
          <cell r="E872">
            <v>3.3352315657809752</v>
          </cell>
          <cell r="G872" t="str">
            <v>LUXEMBOURG</v>
          </cell>
          <cell r="H872">
            <v>4</v>
          </cell>
        </row>
        <row r="873">
          <cell r="B873" t="str">
            <v>42613EUR12</v>
          </cell>
          <cell r="C873" t="str">
            <v>42613MALTA</v>
          </cell>
          <cell r="D873" t="str">
            <v>EUR12</v>
          </cell>
          <cell r="E873">
            <v>3.3352315657809752</v>
          </cell>
          <cell r="G873" t="str">
            <v>MALTA</v>
          </cell>
          <cell r="H873">
            <v>5</v>
          </cell>
        </row>
        <row r="874">
          <cell r="B874" t="str">
            <v>42613EUR13</v>
          </cell>
          <cell r="C874" t="str">
            <v>42613MONTENEGRO</v>
          </cell>
          <cell r="D874" t="str">
            <v>EUR13</v>
          </cell>
          <cell r="E874">
            <v>3.3352315657809752</v>
          </cell>
          <cell r="G874" t="str">
            <v>MONTENEGRO</v>
          </cell>
          <cell r="H874">
            <v>5</v>
          </cell>
        </row>
        <row r="875">
          <cell r="B875" t="str">
            <v>42613EUR14</v>
          </cell>
          <cell r="C875" t="str">
            <v>42613NETHERLANDS</v>
          </cell>
          <cell r="D875" t="str">
            <v>EUR14</v>
          </cell>
          <cell r="E875">
            <v>3.3352315657809752</v>
          </cell>
          <cell r="G875" t="str">
            <v>NETHERLANDS</v>
          </cell>
          <cell r="H875">
            <v>4</v>
          </cell>
        </row>
        <row r="876">
          <cell r="B876" t="str">
            <v>42613EUR15</v>
          </cell>
          <cell r="C876" t="str">
            <v>42613PORTUGAL</v>
          </cell>
          <cell r="D876" t="str">
            <v>EUR15</v>
          </cell>
          <cell r="E876">
            <v>3.3352315657809752</v>
          </cell>
          <cell r="G876" t="str">
            <v>PORTUGAL</v>
          </cell>
          <cell r="H876">
            <v>4</v>
          </cell>
        </row>
        <row r="877">
          <cell r="B877" t="str">
            <v>42613EUR16</v>
          </cell>
          <cell r="C877" t="str">
            <v>42613SLOVAKIA</v>
          </cell>
          <cell r="D877" t="str">
            <v>EUR16</v>
          </cell>
          <cell r="E877">
            <v>3.3352315657809752</v>
          </cell>
          <cell r="G877" t="str">
            <v>SLOVAKIA</v>
          </cell>
          <cell r="H877">
            <v>5</v>
          </cell>
        </row>
        <row r="878">
          <cell r="B878" t="str">
            <v>42613EUR17</v>
          </cell>
          <cell r="C878" t="str">
            <v>42613SLOVENIA</v>
          </cell>
          <cell r="D878" t="str">
            <v>EUR17</v>
          </cell>
          <cell r="E878">
            <v>3.3352315657809752</v>
          </cell>
          <cell r="G878" t="str">
            <v>SLOVENIA</v>
          </cell>
          <cell r="H878">
            <v>5</v>
          </cell>
        </row>
        <row r="879">
          <cell r="B879" t="str">
            <v>42613EUR18</v>
          </cell>
          <cell r="C879" t="str">
            <v>42613SPAIN</v>
          </cell>
          <cell r="D879" t="str">
            <v>EUR18</v>
          </cell>
          <cell r="E879">
            <v>3.3352315657809752</v>
          </cell>
          <cell r="G879" t="str">
            <v>SPAIN</v>
          </cell>
          <cell r="H879">
            <v>4</v>
          </cell>
        </row>
        <row r="880">
          <cell r="B880" t="str">
            <v>42613Eastern European Institutions</v>
          </cell>
          <cell r="C880" t="str">
            <v>42613Eastern European Institutions</v>
          </cell>
          <cell r="D880" t="str">
            <v>Eastern European Institutions</v>
          </cell>
          <cell r="E880">
            <v>2.25</v>
          </cell>
          <cell r="G880" t="str">
            <v>Eastern European Institutions</v>
          </cell>
          <cell r="H880">
            <v>5</v>
          </cell>
        </row>
        <row r="881">
          <cell r="B881" t="str">
            <v>42643AED</v>
          </cell>
          <cell r="C881" t="str">
            <v>42643U. A. E.</v>
          </cell>
          <cell r="D881" t="str">
            <v>AED</v>
          </cell>
          <cell r="E881">
            <v>5.5838658449017178</v>
          </cell>
          <cell r="F881">
            <v>1.9616266</v>
          </cell>
          <cell r="G881" t="str">
            <v>U. A. E.</v>
          </cell>
          <cell r="H881">
            <v>5</v>
          </cell>
        </row>
        <row r="882">
          <cell r="B882" t="str">
            <v>42643ARS</v>
          </cell>
          <cell r="C882" t="str">
            <v>42643ARGENTINA</v>
          </cell>
          <cell r="D882" t="str">
            <v>ARS</v>
          </cell>
          <cell r="E882">
            <v>20.914891568350427</v>
          </cell>
          <cell r="F882">
            <v>25.311792000000001</v>
          </cell>
          <cell r="G882" t="str">
            <v>ARGENTINA</v>
          </cell>
          <cell r="H882">
            <v>5</v>
          </cell>
        </row>
        <row r="883">
          <cell r="B883" t="str">
            <v>42643AUD</v>
          </cell>
          <cell r="C883" t="str">
            <v>42643AUSTRALIA</v>
          </cell>
          <cell r="D883" t="str">
            <v>AUD</v>
          </cell>
          <cell r="E883">
            <v>4.4235669135777291</v>
          </cell>
          <cell r="F883">
            <v>1.9635176999999999</v>
          </cell>
          <cell r="G883" t="str">
            <v>AUSTRALIA</v>
          </cell>
          <cell r="H883">
            <v>5</v>
          </cell>
        </row>
        <row r="884">
          <cell r="B884" t="str">
            <v>42643BDT</v>
          </cell>
          <cell r="C884" t="str">
            <v>42643BANGLADESH</v>
          </cell>
          <cell r="D884" t="str">
            <v>BDT</v>
          </cell>
          <cell r="E884">
            <v>8.7282761424205138</v>
          </cell>
          <cell r="F884">
            <v>6.0499996999999999</v>
          </cell>
          <cell r="G884" t="str">
            <v>BANGLADESH</v>
          </cell>
          <cell r="H884">
            <v>5</v>
          </cell>
        </row>
        <row r="885">
          <cell r="B885" t="str">
            <v>42643BRL</v>
          </cell>
          <cell r="C885" t="str">
            <v>42643BRAZIL</v>
          </cell>
          <cell r="D885" t="str">
            <v>BRL</v>
          </cell>
          <cell r="E885">
            <v>7.8917448905228262</v>
          </cell>
          <cell r="F885">
            <v>5.7965049999999998</v>
          </cell>
          <cell r="G885" t="str">
            <v>BRAZIL</v>
          </cell>
          <cell r="H885">
            <v>6</v>
          </cell>
        </row>
        <row r="886">
          <cell r="B886" t="str">
            <v>42643BWP</v>
          </cell>
          <cell r="C886" t="str">
            <v>42643BOTSWANA</v>
          </cell>
          <cell r="D886" t="str">
            <v>BWP</v>
          </cell>
          <cell r="E886">
            <v>6.0491996276506734</v>
          </cell>
          <cell r="F886">
            <v>3.3875000000000002</v>
          </cell>
          <cell r="G886" t="str">
            <v>BOTSWANA</v>
          </cell>
          <cell r="H886">
            <v>5</v>
          </cell>
        </row>
        <row r="887">
          <cell r="B887" t="str">
            <v>42643CAD</v>
          </cell>
          <cell r="C887" t="str">
            <v>42643CANADA</v>
          </cell>
          <cell r="D887" t="str">
            <v>CAD</v>
          </cell>
          <cell r="E887">
            <v>4.2034582929771727</v>
          </cell>
          <cell r="F887">
            <v>1.9872371</v>
          </cell>
          <cell r="G887" t="str">
            <v>CANADA</v>
          </cell>
          <cell r="H887">
            <v>4</v>
          </cell>
        </row>
        <row r="888">
          <cell r="B888" t="str">
            <v>42643CHF</v>
          </cell>
          <cell r="C888" t="str">
            <v>42643SWITZERLAND</v>
          </cell>
          <cell r="D888" t="str">
            <v>CHF</v>
          </cell>
          <cell r="E888">
            <v>2.6430719669002603</v>
          </cell>
          <cell r="F888">
            <v>9.0810429999999998E-2</v>
          </cell>
          <cell r="G888" t="str">
            <v>SWITZERLAND</v>
          </cell>
          <cell r="H888">
            <v>4</v>
          </cell>
        </row>
        <row r="889">
          <cell r="B889" t="str">
            <v>42643CLP</v>
          </cell>
          <cell r="C889" t="str">
            <v>42643CHILE</v>
          </cell>
          <cell r="D889" t="str">
            <v>CLP</v>
          </cell>
          <cell r="E889">
            <v>5.4474953500336412</v>
          </cell>
          <cell r="F889">
            <v>3.1191430000000002</v>
          </cell>
          <cell r="G889" t="str">
            <v>CHILE</v>
          </cell>
          <cell r="H889">
            <v>5</v>
          </cell>
        </row>
        <row r="890">
          <cell r="B890" t="str">
            <v>42643CNY</v>
          </cell>
          <cell r="C890" t="str">
            <v>42643CHINA</v>
          </cell>
          <cell r="D890" t="str">
            <v>CNY</v>
          </cell>
          <cell r="E890">
            <v>4.7245247585930885</v>
          </cell>
          <cell r="F890">
            <v>1.8860089</v>
          </cell>
          <cell r="G890" t="str">
            <v>CHINA</v>
          </cell>
          <cell r="H890">
            <v>5</v>
          </cell>
        </row>
        <row r="891">
          <cell r="B891" t="str">
            <v>42643COP</v>
          </cell>
          <cell r="C891" t="str">
            <v>42643COLOMBIA</v>
          </cell>
          <cell r="D891" t="str">
            <v>COP</v>
          </cell>
          <cell r="E891">
            <v>6.3999413746283853</v>
          </cell>
          <cell r="F891">
            <v>4.7196546000000001</v>
          </cell>
          <cell r="G891" t="str">
            <v>COLOMBIA</v>
          </cell>
          <cell r="H891">
            <v>5</v>
          </cell>
        </row>
        <row r="892">
          <cell r="B892" t="str">
            <v>42643CZK</v>
          </cell>
          <cell r="C892" t="str">
            <v>42643CZECH REPUBLIC</v>
          </cell>
          <cell r="D892" t="str">
            <v>CZK</v>
          </cell>
          <cell r="E892">
            <v>3.9383105073900229</v>
          </cell>
          <cell r="F892">
            <v>1.4624957999999999</v>
          </cell>
          <cell r="G892" t="str">
            <v>CZECH REPUBLIC</v>
          </cell>
          <cell r="H892">
            <v>5</v>
          </cell>
        </row>
        <row r="893">
          <cell r="B893" t="str">
            <v>42643DKK</v>
          </cell>
          <cell r="C893" t="str">
            <v>42643DENMARK</v>
          </cell>
          <cell r="D893" t="str">
            <v>DKK</v>
          </cell>
          <cell r="E893">
            <v>3.5884260318330732</v>
          </cell>
          <cell r="F893">
            <v>1.0923973</v>
          </cell>
          <cell r="G893" t="str">
            <v>DENMARK</v>
          </cell>
          <cell r="H893">
            <v>4</v>
          </cell>
        </row>
        <row r="894">
          <cell r="B894" t="str">
            <v>42643EGP</v>
          </cell>
          <cell r="C894" t="str">
            <v>42643EGYPT</v>
          </cell>
          <cell r="D894" t="str">
            <v>EGP</v>
          </cell>
          <cell r="E894">
            <v>13.824909055235549</v>
          </cell>
          <cell r="F894">
            <v>11.721546</v>
          </cell>
          <cell r="G894" t="str">
            <v>EGYPT</v>
          </cell>
          <cell r="H894">
            <v>6</v>
          </cell>
        </row>
        <row r="895">
          <cell r="B895" t="str">
            <v>42643EUR</v>
          </cell>
          <cell r="C895" t="str">
            <v>42643AUSTRIA</v>
          </cell>
          <cell r="D895" t="str">
            <v>EUR</v>
          </cell>
          <cell r="E895">
            <v>3.3851593640542612</v>
          </cell>
          <cell r="F895">
            <v>0.78922235000000007</v>
          </cell>
          <cell r="G895" t="str">
            <v>AUSTRIA</v>
          </cell>
          <cell r="H895">
            <v>4</v>
          </cell>
        </row>
        <row r="896">
          <cell r="B896" t="str">
            <v>42643GBP</v>
          </cell>
          <cell r="C896" t="str">
            <v>42643UNITED KINGDOM</v>
          </cell>
          <cell r="D896" t="str">
            <v>GBP</v>
          </cell>
          <cell r="E896">
            <v>4.2176414689261845</v>
          </cell>
          <cell r="F896">
            <v>1.9005626</v>
          </cell>
          <cell r="G896" t="str">
            <v>UNITED KINGDOM</v>
          </cell>
          <cell r="H896">
            <v>4</v>
          </cell>
        </row>
        <row r="897">
          <cell r="B897" t="str">
            <v>42643GEL</v>
          </cell>
          <cell r="C897" t="str">
            <v>42643GEORGIA</v>
          </cell>
          <cell r="D897" t="str">
            <v>GEL</v>
          </cell>
          <cell r="E897">
            <v>5.3921435735881076</v>
          </cell>
          <cell r="F897">
            <v>3.3585000000000003</v>
          </cell>
          <cell r="G897" t="str">
            <v>GEORGIA</v>
          </cell>
          <cell r="H897">
            <v>5</v>
          </cell>
        </row>
        <row r="898">
          <cell r="B898" t="str">
            <v>42643HKD</v>
          </cell>
          <cell r="C898" t="str">
            <v>42643HONG KONG</v>
          </cell>
          <cell r="D898" t="str">
            <v>HKD</v>
          </cell>
          <cell r="E898">
            <v>4.9499026289057593</v>
          </cell>
          <cell r="F898">
            <v>1.9616266</v>
          </cell>
          <cell r="G898" t="str">
            <v>HONG KONG</v>
          </cell>
          <cell r="H898">
            <v>4.2746221296873292</v>
          </cell>
        </row>
        <row r="899">
          <cell r="B899" t="str">
            <v>42643GHS</v>
          </cell>
          <cell r="C899" t="str">
            <v>42643GHANA</v>
          </cell>
          <cell r="D899" t="str">
            <v>GHS</v>
          </cell>
          <cell r="E899">
            <v>11.370392090121431</v>
          </cell>
          <cell r="F899">
            <v>11.731999999999999</v>
          </cell>
          <cell r="G899" t="str">
            <v>GHANA</v>
          </cell>
          <cell r="H899">
            <v>5</v>
          </cell>
        </row>
        <row r="900">
          <cell r="B900" t="str">
            <v>42643HRK</v>
          </cell>
          <cell r="C900" t="str">
            <v>42643CROATIA</v>
          </cell>
          <cell r="D900" t="str">
            <v>HRK</v>
          </cell>
          <cell r="E900">
            <v>3.3209506494321452</v>
          </cell>
          <cell r="F900">
            <v>0.33175000000000004</v>
          </cell>
          <cell r="G900" t="str">
            <v>CROATIA</v>
          </cell>
          <cell r="H900">
            <v>5</v>
          </cell>
        </row>
        <row r="901">
          <cell r="B901" t="str">
            <v>42643HUF</v>
          </cell>
          <cell r="C901" t="str">
            <v>42643HUNGARY</v>
          </cell>
          <cell r="D901" t="str">
            <v>HUF</v>
          </cell>
          <cell r="E901">
            <v>4.4253046746673999</v>
          </cell>
          <cell r="F901">
            <v>1.4728669999999999</v>
          </cell>
          <cell r="G901" t="str">
            <v>HUNGARY</v>
          </cell>
          <cell r="H901">
            <v>5</v>
          </cell>
        </row>
        <row r="902">
          <cell r="B902" t="str">
            <v>42643IDR</v>
          </cell>
          <cell r="C902" t="str">
            <v>42643INDONESIA</v>
          </cell>
          <cell r="D902" t="str">
            <v>IDR</v>
          </cell>
          <cell r="E902">
            <v>6.3702882196320845</v>
          </cell>
          <cell r="F902">
            <v>4.2249999999999996</v>
          </cell>
          <cell r="G902" t="str">
            <v>INDONESIA</v>
          </cell>
          <cell r="H902">
            <v>5</v>
          </cell>
        </row>
        <row r="903">
          <cell r="B903" t="str">
            <v>42643ILS</v>
          </cell>
          <cell r="C903" t="str">
            <v>42643ISRAEL</v>
          </cell>
          <cell r="D903" t="str">
            <v>ILS</v>
          </cell>
          <cell r="E903">
            <v>3.4156539278355416</v>
          </cell>
          <cell r="F903">
            <v>0.83820850000000002</v>
          </cell>
          <cell r="G903" t="str">
            <v>ISRAEL</v>
          </cell>
          <cell r="H903">
            <v>4</v>
          </cell>
        </row>
        <row r="904">
          <cell r="B904" t="str">
            <v>42643INR</v>
          </cell>
          <cell r="C904" t="str">
            <v>42643INDIA</v>
          </cell>
          <cell r="D904" t="str">
            <v>INR</v>
          </cell>
          <cell r="E904">
            <v>7.4774887317642182</v>
          </cell>
          <cell r="F904">
            <v>5.1648693000000003</v>
          </cell>
          <cell r="G904" t="str">
            <v>INDIA</v>
          </cell>
          <cell r="H904">
            <v>5</v>
          </cell>
        </row>
        <row r="905">
          <cell r="B905" t="str">
            <v>42643IQD</v>
          </cell>
          <cell r="C905" t="str">
            <v>42643IRAQ</v>
          </cell>
          <cell r="D905" t="str">
            <v>IQD</v>
          </cell>
          <cell r="E905">
            <v>4.2500000000000018</v>
          </cell>
          <cell r="F905">
            <v>2</v>
          </cell>
          <cell r="G905" t="str">
            <v>IRAQ</v>
          </cell>
          <cell r="H905">
            <v>5</v>
          </cell>
        </row>
        <row r="906">
          <cell r="B906" t="str">
            <v>42643JPY</v>
          </cell>
          <cell r="C906" t="str">
            <v>42643JAPAN</v>
          </cell>
          <cell r="D906" t="str">
            <v>JPY</v>
          </cell>
          <cell r="E906">
            <v>2.9897897786433516</v>
          </cell>
          <cell r="F906">
            <v>0.28473925999999999</v>
          </cell>
          <cell r="G906" t="str">
            <v>JAPAN</v>
          </cell>
          <cell r="H906">
            <v>4</v>
          </cell>
        </row>
        <row r="907">
          <cell r="B907" t="str">
            <v>42643KES</v>
          </cell>
          <cell r="C907" t="str">
            <v>42643KENYA</v>
          </cell>
          <cell r="D907" t="str">
            <v>KES</v>
          </cell>
          <cell r="E907">
            <v>7.6084926403903221</v>
          </cell>
          <cell r="F907">
            <v>5.6739999999999995</v>
          </cell>
          <cell r="G907" t="str">
            <v>KENYA</v>
          </cell>
          <cell r="H907">
            <v>5</v>
          </cell>
        </row>
        <row r="908">
          <cell r="B908" t="str">
            <v>42643KHR</v>
          </cell>
          <cell r="C908" t="str">
            <v>42643CAMBODIA</v>
          </cell>
          <cell r="D908" t="str">
            <v>KHR</v>
          </cell>
          <cell r="E908">
            <v>5.2316942649170119</v>
          </cell>
          <cell r="F908">
            <v>2.8167499999999999</v>
          </cell>
          <cell r="G908" t="str">
            <v>CAMBODIA</v>
          </cell>
          <cell r="H908">
            <v>5</v>
          </cell>
        </row>
        <row r="909">
          <cell r="B909" t="str">
            <v>42643KRW</v>
          </cell>
          <cell r="C909" t="str">
            <v>42643KOREA SOUTH(REPUBLIC OF KOREA)</v>
          </cell>
          <cell r="D909" t="str">
            <v>KRW</v>
          </cell>
          <cell r="E909">
            <v>4.0236839542202842</v>
          </cell>
          <cell r="F909">
            <v>1.3960838</v>
          </cell>
          <cell r="G909" t="str">
            <v>KOREA SOUTH(REPUBLIC OF KOREA)</v>
          </cell>
          <cell r="H909">
            <v>5</v>
          </cell>
        </row>
        <row r="910">
          <cell r="B910" t="str">
            <v>42643KWD</v>
          </cell>
          <cell r="C910" t="str">
            <v>42643KUWAIT</v>
          </cell>
          <cell r="D910" t="str">
            <v>KWD</v>
          </cell>
          <cell r="E910">
            <v>5.8499227798076738</v>
          </cell>
          <cell r="F910">
            <v>3.6999999999999997</v>
          </cell>
          <cell r="G910" t="str">
            <v>KUWAIT</v>
          </cell>
          <cell r="H910">
            <v>5</v>
          </cell>
        </row>
        <row r="911">
          <cell r="B911" t="str">
            <v>42643LKR</v>
          </cell>
          <cell r="C911" t="str">
            <v>42643SRI LANKA</v>
          </cell>
          <cell r="D911" t="str">
            <v>LKR</v>
          </cell>
          <cell r="E911">
            <v>7.1465574110770849</v>
          </cell>
          <cell r="F911">
            <v>4.8499999999999996</v>
          </cell>
          <cell r="G911" t="str">
            <v>SRI LANKA</v>
          </cell>
          <cell r="H911">
            <v>5</v>
          </cell>
        </row>
        <row r="912">
          <cell r="B912" t="str">
            <v>42643KZT</v>
          </cell>
          <cell r="C912" t="str">
            <v>42643KAZAKHSTAN</v>
          </cell>
          <cell r="D912" t="str">
            <v>KZT</v>
          </cell>
          <cell r="E912">
            <v>11.702472282512669</v>
          </cell>
          <cell r="F912">
            <v>10.2125</v>
          </cell>
          <cell r="G912" t="str">
            <v>KAZAKHSTAN</v>
          </cell>
          <cell r="H912">
            <v>5</v>
          </cell>
        </row>
        <row r="913">
          <cell r="B913" t="str">
            <v>42643MAD</v>
          </cell>
          <cell r="C913" t="str">
            <v>42643MOROCCO</v>
          </cell>
          <cell r="D913" t="str">
            <v>MAD</v>
          </cell>
          <cell r="E913">
            <v>3.8494689282919916</v>
          </cell>
          <cell r="F913">
            <v>1.3</v>
          </cell>
          <cell r="G913" t="str">
            <v>MOROCCO</v>
          </cell>
          <cell r="H913">
            <v>5</v>
          </cell>
        </row>
        <row r="914">
          <cell r="B914" t="str">
            <v>42643MXN</v>
          </cell>
          <cell r="C914" t="str">
            <v>42643MEXICO</v>
          </cell>
          <cell r="D914" t="str">
            <v>MXN</v>
          </cell>
          <cell r="E914">
            <v>5.2830645078890717</v>
          </cell>
          <cell r="F914">
            <v>3.3919358000000002</v>
          </cell>
          <cell r="G914" t="str">
            <v>MEXICO</v>
          </cell>
          <cell r="H914">
            <v>5</v>
          </cell>
        </row>
        <row r="915">
          <cell r="B915" t="str">
            <v>42643MYR</v>
          </cell>
          <cell r="C915" t="str">
            <v>42643MALAYSIA</v>
          </cell>
          <cell r="D915" t="str">
            <v>MYR</v>
          </cell>
          <cell r="E915">
            <v>5.0482023837028525</v>
          </cell>
          <cell r="F915">
            <v>2.4633530000000001</v>
          </cell>
          <cell r="G915" t="str">
            <v>MALAYSIA</v>
          </cell>
          <cell r="H915">
            <v>5</v>
          </cell>
        </row>
        <row r="916">
          <cell r="B916" t="str">
            <v>42643NGN</v>
          </cell>
          <cell r="C916" t="str">
            <v>42643NIGERIA</v>
          </cell>
          <cell r="D916" t="str">
            <v>NGN</v>
          </cell>
          <cell r="E916">
            <v>17.846980104209756</v>
          </cell>
          <cell r="F916">
            <v>13.454819000000001</v>
          </cell>
          <cell r="G916" t="str">
            <v>NIGERIA</v>
          </cell>
          <cell r="H916">
            <v>7</v>
          </cell>
        </row>
        <row r="917">
          <cell r="B917" t="str">
            <v>42643NOK</v>
          </cell>
          <cell r="C917" t="str">
            <v>42643NORWAY</v>
          </cell>
          <cell r="D917" t="str">
            <v>NOK</v>
          </cell>
          <cell r="E917">
            <v>4.8495333363926898</v>
          </cell>
          <cell r="F917">
            <v>2.5199044000000002</v>
          </cell>
          <cell r="G917" t="str">
            <v>NORWAY</v>
          </cell>
          <cell r="H917">
            <v>4</v>
          </cell>
        </row>
        <row r="918">
          <cell r="B918" t="str">
            <v>42643NZD</v>
          </cell>
          <cell r="C918" t="str">
            <v>42643NEW ZEALAND</v>
          </cell>
          <cell r="D918" t="str">
            <v>NZD</v>
          </cell>
          <cell r="E918">
            <v>3.8954970060277851</v>
          </cell>
          <cell r="F918">
            <v>1.2460334</v>
          </cell>
          <cell r="G918" t="str">
            <v>NEW ZEALAND</v>
          </cell>
          <cell r="H918">
            <v>5.528069907549944</v>
          </cell>
        </row>
        <row r="919">
          <cell r="B919" t="str">
            <v>42643OMR</v>
          </cell>
          <cell r="C919" t="str">
            <v>42643OMAN</v>
          </cell>
          <cell r="D919" t="str">
            <v>OMR</v>
          </cell>
          <cell r="E919">
            <v>4.7996173308366732</v>
          </cell>
          <cell r="F919">
            <v>1.9616266</v>
          </cell>
          <cell r="G919" t="str">
            <v>OMAN</v>
          </cell>
          <cell r="H919">
            <v>5</v>
          </cell>
        </row>
        <row r="920">
          <cell r="B920" t="str">
            <v>42643PEN</v>
          </cell>
          <cell r="C920" t="str">
            <v>42643PERU</v>
          </cell>
          <cell r="D920" t="str">
            <v>PEN</v>
          </cell>
          <cell r="E920">
            <v>4.9589292857872094</v>
          </cell>
          <cell r="F920">
            <v>2.8085794000000002</v>
          </cell>
          <cell r="G920" t="str">
            <v>PERU</v>
          </cell>
          <cell r="H920">
            <v>5</v>
          </cell>
        </row>
        <row r="921">
          <cell r="B921" t="str">
            <v>42643PHP</v>
          </cell>
          <cell r="C921" t="str">
            <v>42643PHILIPPINES</v>
          </cell>
          <cell r="D921" t="str">
            <v>PHP</v>
          </cell>
          <cell r="E921">
            <v>5.4213923617381123</v>
          </cell>
          <cell r="F921">
            <v>2.5782470000000002</v>
          </cell>
          <cell r="G921" t="str">
            <v>PHILIPPINES</v>
          </cell>
          <cell r="H921">
            <v>5</v>
          </cell>
        </row>
        <row r="922">
          <cell r="B922" t="str">
            <v>42643PKR</v>
          </cell>
          <cell r="C922" t="str">
            <v>42643PAKISTAN</v>
          </cell>
          <cell r="D922" t="str">
            <v>PKR</v>
          </cell>
          <cell r="E922">
            <v>6.8588829756929295</v>
          </cell>
          <cell r="F922">
            <v>5.1749999999999998</v>
          </cell>
          <cell r="G922" t="str">
            <v>PAKISTAN</v>
          </cell>
          <cell r="H922">
            <v>5</v>
          </cell>
        </row>
        <row r="923">
          <cell r="B923" t="str">
            <v>42643PLN</v>
          </cell>
          <cell r="C923" t="str">
            <v>42643POLAND</v>
          </cell>
          <cell r="D923" t="str">
            <v>PLN</v>
          </cell>
          <cell r="E923">
            <v>3.6694742112638048</v>
          </cell>
          <cell r="F923">
            <v>0.85462890000000002</v>
          </cell>
          <cell r="G923" t="str">
            <v>POLAND</v>
          </cell>
          <cell r="H923">
            <v>5</v>
          </cell>
        </row>
        <row r="924">
          <cell r="B924" t="str">
            <v>42643QAR</v>
          </cell>
          <cell r="C924" t="str">
            <v>42643QATAR</v>
          </cell>
          <cell r="D924" t="str">
            <v>QAR</v>
          </cell>
          <cell r="E924">
            <v>4.9229424636614318</v>
          </cell>
          <cell r="F924">
            <v>1.9616266</v>
          </cell>
          <cell r="G924" t="str">
            <v>QATAR</v>
          </cell>
          <cell r="H924">
            <v>5</v>
          </cell>
        </row>
        <row r="925">
          <cell r="B925" t="str">
            <v>42643RON</v>
          </cell>
          <cell r="C925" t="str">
            <v>42643ROMANIA</v>
          </cell>
          <cell r="D925" t="str">
            <v>RON</v>
          </cell>
          <cell r="E925">
            <v>3.9515129985019861</v>
          </cell>
          <cell r="F925">
            <v>1.3065696</v>
          </cell>
          <cell r="G925" t="str">
            <v>ROMANIA</v>
          </cell>
          <cell r="H925">
            <v>5</v>
          </cell>
        </row>
        <row r="926">
          <cell r="B926" t="str">
            <v>42643RUB</v>
          </cell>
          <cell r="C926" t="str">
            <v>42643RUSSIAN FEDERATION</v>
          </cell>
          <cell r="D926" t="str">
            <v>RUB</v>
          </cell>
          <cell r="E926">
            <v>7.1918878195997218</v>
          </cell>
          <cell r="F926">
            <v>5.5950280000000001</v>
          </cell>
          <cell r="G926" t="str">
            <v>RUSSIAN FEDERATION</v>
          </cell>
          <cell r="H926">
            <v>5</v>
          </cell>
        </row>
        <row r="927">
          <cell r="B927" t="str">
            <v>42643SAR</v>
          </cell>
          <cell r="C927" t="str">
            <v>42643SAUDI ARABIA</v>
          </cell>
          <cell r="D927" t="str">
            <v>SAR</v>
          </cell>
          <cell r="E927">
            <v>5.2006270130464474</v>
          </cell>
          <cell r="F927">
            <v>1.9616266</v>
          </cell>
          <cell r="G927" t="str">
            <v>SAUDI ARABIA</v>
          </cell>
          <cell r="H927">
            <v>5</v>
          </cell>
        </row>
        <row r="928">
          <cell r="B928" t="str">
            <v>42643SEK</v>
          </cell>
          <cell r="C928" t="str">
            <v>42643SWEDEN</v>
          </cell>
          <cell r="D928" t="str">
            <v>SEK</v>
          </cell>
          <cell r="E928">
            <v>3.9425293207783687</v>
          </cell>
          <cell r="F928">
            <v>1.3690621999999999</v>
          </cell>
          <cell r="G928" t="str">
            <v>SWEDEN</v>
          </cell>
          <cell r="H928">
            <v>4</v>
          </cell>
        </row>
        <row r="929">
          <cell r="B929" t="str">
            <v>42643SGD</v>
          </cell>
          <cell r="C929" t="str">
            <v>42643SINGAPORE</v>
          </cell>
          <cell r="D929" t="str">
            <v>SGD</v>
          </cell>
          <cell r="E929">
            <v>3.5375869420093</v>
          </cell>
          <cell r="F929">
            <v>0.44444479999999997</v>
          </cell>
          <cell r="G929" t="str">
            <v>SINGAPORE</v>
          </cell>
          <cell r="H929">
            <v>5</v>
          </cell>
        </row>
        <row r="930">
          <cell r="B930" t="str">
            <v>42643TZS</v>
          </cell>
          <cell r="C930" t="str">
            <v>42643TANZANIA, UNITED REPUBLIC OF</v>
          </cell>
          <cell r="D930" t="str">
            <v>TZS</v>
          </cell>
          <cell r="E930">
            <v>7.2943624978498303</v>
          </cell>
          <cell r="F930">
            <v>5.0555000000000003</v>
          </cell>
          <cell r="G930" t="str">
            <v>TANZANIA, UNITED REPUBLIC OF</v>
          </cell>
          <cell r="H930">
            <v>5</v>
          </cell>
        </row>
        <row r="931">
          <cell r="B931" t="str">
            <v>42643THB</v>
          </cell>
          <cell r="C931" t="str">
            <v>42643THAILAND</v>
          </cell>
          <cell r="D931" t="str">
            <v>THB</v>
          </cell>
          <cell r="E931">
            <v>3.8511922752788621</v>
          </cell>
          <cell r="F931">
            <v>1.4223326000000001</v>
          </cell>
          <cell r="G931" t="str">
            <v>THAILAND</v>
          </cell>
          <cell r="H931">
            <v>5.6863946667304379</v>
          </cell>
        </row>
        <row r="932">
          <cell r="B932" t="str">
            <v>42643TRY</v>
          </cell>
          <cell r="C932" t="str">
            <v>42643TURKEY</v>
          </cell>
          <cell r="D932" t="str">
            <v>TRY</v>
          </cell>
          <cell r="E932">
            <v>9.570318353270272</v>
          </cell>
          <cell r="F932">
            <v>7.8447823999999997</v>
          </cell>
          <cell r="G932" t="str">
            <v>TURKEY</v>
          </cell>
          <cell r="H932">
            <v>6</v>
          </cell>
        </row>
        <row r="933">
          <cell r="B933" t="str">
            <v>42643TWD</v>
          </cell>
          <cell r="C933" t="str">
            <v>42643TAIWAN</v>
          </cell>
          <cell r="D933" t="str">
            <v>TWD</v>
          </cell>
          <cell r="E933">
            <v>3.6096530623692926</v>
          </cell>
          <cell r="F933">
            <v>1.1411922000000001</v>
          </cell>
          <cell r="G933" t="str">
            <v>TAIWAN</v>
          </cell>
          <cell r="H933">
            <v>5</v>
          </cell>
        </row>
        <row r="934">
          <cell r="B934" t="str">
            <v>42643UAH</v>
          </cell>
          <cell r="C934" t="str">
            <v>42643UKRAINE</v>
          </cell>
          <cell r="D934" t="str">
            <v>UAH</v>
          </cell>
          <cell r="E934">
            <v>11.431802047705045</v>
          </cell>
          <cell r="F934">
            <v>11.055062</v>
          </cell>
          <cell r="G934" t="str">
            <v>UKRAINE</v>
          </cell>
          <cell r="H934">
            <v>5</v>
          </cell>
        </row>
        <row r="935">
          <cell r="B935" t="str">
            <v>42643USD</v>
          </cell>
          <cell r="C935" t="str">
            <v>42643UNITED STATES</v>
          </cell>
          <cell r="D935" t="str">
            <v>USD</v>
          </cell>
          <cell r="E935">
            <v>4.4638459635544949</v>
          </cell>
          <cell r="F935">
            <v>1.9616266</v>
          </cell>
          <cell r="G935" t="str">
            <v>UNITED STATES</v>
          </cell>
          <cell r="H935">
            <v>4</v>
          </cell>
        </row>
        <row r="936">
          <cell r="B936" t="str">
            <v>42643VND</v>
          </cell>
          <cell r="C936" t="str">
            <v>42643VIET NAM</v>
          </cell>
          <cell r="D936" t="str">
            <v>VND</v>
          </cell>
          <cell r="E936">
            <v>5.7670905408208331</v>
          </cell>
          <cell r="F936">
            <v>3.75</v>
          </cell>
          <cell r="G936" t="str">
            <v>VIET NAM</v>
          </cell>
          <cell r="H936">
            <v>7</v>
          </cell>
        </row>
        <row r="937">
          <cell r="B937" t="str">
            <v>42643XOF</v>
          </cell>
          <cell r="C937" t="str">
            <v>42643MALI</v>
          </cell>
          <cell r="D937" t="str">
            <v>XOF</v>
          </cell>
          <cell r="E937">
            <v>3.9239245524888036</v>
          </cell>
          <cell r="G937" t="str">
            <v>MALI</v>
          </cell>
          <cell r="H937">
            <v>6</v>
          </cell>
        </row>
        <row r="938">
          <cell r="B938" t="str">
            <v>42643ZAR</v>
          </cell>
          <cell r="C938" t="str">
            <v>42643SOUTH AFRICA</v>
          </cell>
          <cell r="D938" t="str">
            <v>ZAR</v>
          </cell>
          <cell r="E938">
            <v>8.0381491428311662</v>
          </cell>
          <cell r="F938">
            <v>6.0677194999999999</v>
          </cell>
          <cell r="G938" t="str">
            <v>SOUTH AFRICA</v>
          </cell>
          <cell r="H938">
            <v>5</v>
          </cell>
        </row>
        <row r="939">
          <cell r="B939" t="str">
            <v>42643ZMW</v>
          </cell>
          <cell r="C939" t="str">
            <v>42643ZAMBIA</v>
          </cell>
          <cell r="D939" t="str">
            <v>ZMW</v>
          </cell>
          <cell r="E939">
            <v>11.713800571851412</v>
          </cell>
          <cell r="G939" t="str">
            <v>ZAMBIA</v>
          </cell>
          <cell r="H939">
            <v>6</v>
          </cell>
        </row>
        <row r="940">
          <cell r="B940" t="str">
            <v>42643EUR1</v>
          </cell>
          <cell r="C940" t="str">
            <v>42643BELGIUM</v>
          </cell>
          <cell r="D940" t="str">
            <v>EUR1</v>
          </cell>
          <cell r="E940">
            <v>3.3851593640542612</v>
          </cell>
          <cell r="G940" t="str">
            <v>BELGIUM</v>
          </cell>
          <cell r="H940">
            <v>4</v>
          </cell>
        </row>
        <row r="941">
          <cell r="B941" t="str">
            <v>42643EUR2</v>
          </cell>
          <cell r="C941" t="str">
            <v>42643CYPRUS</v>
          </cell>
          <cell r="D941" t="str">
            <v>EUR2</v>
          </cell>
          <cell r="E941">
            <v>3.3851593640542612</v>
          </cell>
          <cell r="G941" t="str">
            <v>CYPRUS</v>
          </cell>
          <cell r="H941">
            <v>5</v>
          </cell>
        </row>
        <row r="942">
          <cell r="B942" t="str">
            <v>42643EUR3</v>
          </cell>
          <cell r="C942" t="str">
            <v>42643ESTONIA</v>
          </cell>
          <cell r="D942" t="str">
            <v>EUR3</v>
          </cell>
          <cell r="E942">
            <v>3.3851593640542612</v>
          </cell>
          <cell r="G942" t="str">
            <v>ESTONIA</v>
          </cell>
          <cell r="H942">
            <v>5</v>
          </cell>
        </row>
        <row r="943">
          <cell r="B943" t="str">
            <v>42643EUR4</v>
          </cell>
          <cell r="C943" t="str">
            <v>42643FINLAND</v>
          </cell>
          <cell r="D943" t="str">
            <v>EUR4</v>
          </cell>
          <cell r="E943">
            <v>3.3851593640542612</v>
          </cell>
          <cell r="G943" t="str">
            <v>FINLAND</v>
          </cell>
          <cell r="H943">
            <v>4</v>
          </cell>
        </row>
        <row r="944">
          <cell r="B944" t="str">
            <v>42643EUR5</v>
          </cell>
          <cell r="C944" t="str">
            <v>42643FRANCE</v>
          </cell>
          <cell r="D944" t="str">
            <v>EUR5</v>
          </cell>
          <cell r="E944">
            <v>3.3851593640542612</v>
          </cell>
          <cell r="G944" t="str">
            <v>FRANCE</v>
          </cell>
          <cell r="H944">
            <v>4</v>
          </cell>
        </row>
        <row r="945">
          <cell r="B945" t="str">
            <v>42643EUR6</v>
          </cell>
          <cell r="C945" t="str">
            <v>42643GERMANY</v>
          </cell>
          <cell r="D945" t="str">
            <v>EUR6</v>
          </cell>
          <cell r="E945">
            <v>3.3851593640542612</v>
          </cell>
          <cell r="G945" t="str">
            <v>GERMANY</v>
          </cell>
          <cell r="H945">
            <v>4.321382367794798</v>
          </cell>
        </row>
        <row r="946">
          <cell r="B946" t="str">
            <v>42643EUR7</v>
          </cell>
          <cell r="C946" t="str">
            <v>42643GREECE</v>
          </cell>
          <cell r="D946" t="str">
            <v>EUR7</v>
          </cell>
          <cell r="E946">
            <v>3.3851593640542612</v>
          </cell>
          <cell r="G946" t="str">
            <v>GREECE</v>
          </cell>
          <cell r="H946">
            <v>10</v>
          </cell>
        </row>
        <row r="947">
          <cell r="B947" t="str">
            <v>42643EUR8</v>
          </cell>
          <cell r="C947" t="str">
            <v>42643IRELAND</v>
          </cell>
          <cell r="D947" t="str">
            <v>EUR8</v>
          </cell>
          <cell r="E947">
            <v>3.3851593640542612</v>
          </cell>
          <cell r="G947" t="str">
            <v>IRELAND</v>
          </cell>
          <cell r="H947">
            <v>4</v>
          </cell>
        </row>
        <row r="948">
          <cell r="B948" t="str">
            <v>42643EUR9</v>
          </cell>
          <cell r="C948" t="str">
            <v>42643ITALY</v>
          </cell>
          <cell r="D948" t="str">
            <v>EUR9</v>
          </cell>
          <cell r="E948">
            <v>3.3851593640542612</v>
          </cell>
          <cell r="G948" t="str">
            <v>ITALY</v>
          </cell>
          <cell r="H948">
            <v>4</v>
          </cell>
        </row>
        <row r="949">
          <cell r="B949" t="str">
            <v>42643EUR10</v>
          </cell>
          <cell r="C949" t="str">
            <v>42643LATVIA</v>
          </cell>
          <cell r="D949" t="str">
            <v>EUR10</v>
          </cell>
          <cell r="E949">
            <v>3.3851593640542612</v>
          </cell>
          <cell r="G949" t="str">
            <v>LATVIA</v>
          </cell>
          <cell r="H949">
            <v>5</v>
          </cell>
        </row>
        <row r="950">
          <cell r="B950" t="str">
            <v>42643EUR11</v>
          </cell>
          <cell r="C950" t="str">
            <v>42643LUXEMBOURG</v>
          </cell>
          <cell r="D950" t="str">
            <v>EUR11</v>
          </cell>
          <cell r="E950">
            <v>3.3851593640542612</v>
          </cell>
          <cell r="G950" t="str">
            <v>LUXEMBOURG</v>
          </cell>
          <cell r="H950">
            <v>4</v>
          </cell>
        </row>
        <row r="951">
          <cell r="B951" t="str">
            <v>42643EUR12</v>
          </cell>
          <cell r="C951" t="str">
            <v>42643MALTA</v>
          </cell>
          <cell r="D951" t="str">
            <v>EUR12</v>
          </cell>
          <cell r="E951">
            <v>3.3851593640542612</v>
          </cell>
          <cell r="G951" t="str">
            <v>MALTA</v>
          </cell>
          <cell r="H951">
            <v>5</v>
          </cell>
        </row>
        <row r="952">
          <cell r="B952" t="str">
            <v>42643EUR13</v>
          </cell>
          <cell r="C952" t="str">
            <v>42643MONTENEGRO</v>
          </cell>
          <cell r="D952" t="str">
            <v>EUR13</v>
          </cell>
          <cell r="E952">
            <v>3.3851593640542612</v>
          </cell>
          <cell r="G952" t="str">
            <v>MONTENEGRO</v>
          </cell>
          <cell r="H952">
            <v>5</v>
          </cell>
        </row>
        <row r="953">
          <cell r="B953" t="str">
            <v>42643EUR14</v>
          </cell>
          <cell r="C953" t="str">
            <v>42643NETHERLANDS</v>
          </cell>
          <cell r="D953" t="str">
            <v>EUR14</v>
          </cell>
          <cell r="E953">
            <v>3.3851593640542612</v>
          </cell>
          <cell r="G953" t="str">
            <v>NETHERLANDS</v>
          </cell>
          <cell r="H953">
            <v>4</v>
          </cell>
        </row>
        <row r="954">
          <cell r="B954" t="str">
            <v>42643EUR15</v>
          </cell>
          <cell r="C954" t="str">
            <v>42643PORTUGAL</v>
          </cell>
          <cell r="D954" t="str">
            <v>EUR15</v>
          </cell>
          <cell r="E954">
            <v>3.3851593640542612</v>
          </cell>
          <cell r="G954" t="str">
            <v>PORTUGAL</v>
          </cell>
          <cell r="H954">
            <v>4</v>
          </cell>
        </row>
        <row r="955">
          <cell r="B955" t="str">
            <v>42643EUR16</v>
          </cell>
          <cell r="C955" t="str">
            <v>42643SLOVAKIA</v>
          </cell>
          <cell r="D955" t="str">
            <v>EUR16</v>
          </cell>
          <cell r="E955">
            <v>3.3851593640542612</v>
          </cell>
          <cell r="G955" t="str">
            <v>SLOVAKIA</v>
          </cell>
          <cell r="H955">
            <v>5</v>
          </cell>
        </row>
        <row r="956">
          <cell r="B956" t="str">
            <v>42643EUR17</v>
          </cell>
          <cell r="C956" t="str">
            <v>42643SLOVENIA</v>
          </cell>
          <cell r="D956" t="str">
            <v>EUR17</v>
          </cell>
          <cell r="E956">
            <v>3.3851593640542612</v>
          </cell>
          <cell r="G956" t="str">
            <v>SLOVENIA</v>
          </cell>
          <cell r="H956">
            <v>5</v>
          </cell>
        </row>
        <row r="957">
          <cell r="B957" t="str">
            <v>42643EUR18</v>
          </cell>
          <cell r="C957" t="str">
            <v>42643SPAIN</v>
          </cell>
          <cell r="D957" t="str">
            <v>EUR18</v>
          </cell>
          <cell r="E957">
            <v>3.3851593640542612</v>
          </cell>
          <cell r="G957" t="str">
            <v>SPAIN</v>
          </cell>
          <cell r="H957">
            <v>4</v>
          </cell>
        </row>
        <row r="958">
          <cell r="B958" t="str">
            <v>42643Eastern European Institutions</v>
          </cell>
          <cell r="C958" t="str">
            <v>42643Eastern European Institutions</v>
          </cell>
          <cell r="D958" t="str">
            <v>Eastern European Institutions</v>
          </cell>
          <cell r="E958">
            <v>2.25</v>
          </cell>
          <cell r="G958" t="str">
            <v>Eastern European Institutions</v>
          </cell>
          <cell r="H958">
            <v>5</v>
          </cell>
        </row>
        <row r="959">
          <cell r="B959" t="str">
            <v>42674AED</v>
          </cell>
          <cell r="C959" t="str">
            <v>42674U. A. E.</v>
          </cell>
          <cell r="D959" t="str">
            <v>AED</v>
          </cell>
          <cell r="E959">
            <v>5.5838658449017178</v>
          </cell>
          <cell r="F959">
            <v>2.1186701999999999</v>
          </cell>
          <cell r="G959" t="str">
            <v>U. A. E.</v>
          </cell>
          <cell r="H959">
            <v>5</v>
          </cell>
        </row>
        <row r="960">
          <cell r="B960" t="str">
            <v>42674ARS</v>
          </cell>
          <cell r="C960" t="str">
            <v>42674ARGENTINA</v>
          </cell>
          <cell r="D960" t="str">
            <v>ARS</v>
          </cell>
          <cell r="E960">
            <v>20.914891568350427</v>
          </cell>
          <cell r="F960">
            <v>23.556614</v>
          </cell>
          <cell r="G960" t="str">
            <v>ARGENTINA</v>
          </cell>
          <cell r="H960">
            <v>5</v>
          </cell>
        </row>
        <row r="961">
          <cell r="B961" t="str">
            <v>42674AUD</v>
          </cell>
          <cell r="C961" t="str">
            <v>42674AUSTRALIA</v>
          </cell>
          <cell r="D961" t="str">
            <v>AUD</v>
          </cell>
          <cell r="E961">
            <v>4.4235669135777291</v>
          </cell>
          <cell r="F961">
            <v>1.9676661</v>
          </cell>
          <cell r="G961" t="str">
            <v>AUSTRALIA</v>
          </cell>
          <cell r="H961">
            <v>5</v>
          </cell>
        </row>
        <row r="962">
          <cell r="B962" t="str">
            <v>42674BDT</v>
          </cell>
          <cell r="C962" t="str">
            <v>42674BANGLADESH</v>
          </cell>
          <cell r="D962" t="str">
            <v>BDT</v>
          </cell>
          <cell r="E962">
            <v>8.7282761424205138</v>
          </cell>
          <cell r="F962">
            <v>6.0499996999999999</v>
          </cell>
          <cell r="G962" t="str">
            <v>BANGLADESH</v>
          </cell>
          <cell r="H962">
            <v>5</v>
          </cell>
        </row>
        <row r="963">
          <cell r="B963" t="str">
            <v>42674BRL</v>
          </cell>
          <cell r="C963" t="str">
            <v>42674BRAZIL</v>
          </cell>
          <cell r="D963" t="str">
            <v>BRL</v>
          </cell>
          <cell r="E963">
            <v>7.8917448905228262</v>
          </cell>
          <cell r="F963">
            <v>5.5247054000000002</v>
          </cell>
          <cell r="G963" t="str">
            <v>BRAZIL</v>
          </cell>
          <cell r="H963">
            <v>6</v>
          </cell>
        </row>
        <row r="964">
          <cell r="B964" t="str">
            <v>42674BWP</v>
          </cell>
          <cell r="C964" t="str">
            <v>42674BOTSWANA</v>
          </cell>
          <cell r="D964" t="str">
            <v>BWP</v>
          </cell>
          <cell r="E964">
            <v>6.0491996276506734</v>
          </cell>
          <cell r="F964">
            <v>3.4083333333333337</v>
          </cell>
          <cell r="G964" t="str">
            <v>BOTSWANA</v>
          </cell>
          <cell r="H964">
            <v>5</v>
          </cell>
        </row>
        <row r="965">
          <cell r="B965" t="str">
            <v>42674CAD</v>
          </cell>
          <cell r="C965" t="str">
            <v>42674CANADA</v>
          </cell>
          <cell r="D965" t="str">
            <v>CAD</v>
          </cell>
          <cell r="E965">
            <v>4.2034582929771727</v>
          </cell>
          <cell r="F965">
            <v>1.9733027999999999</v>
          </cell>
          <cell r="G965" t="str">
            <v>CANADA</v>
          </cell>
          <cell r="H965">
            <v>4</v>
          </cell>
        </row>
        <row r="966">
          <cell r="B966" t="str">
            <v>42674CHF</v>
          </cell>
          <cell r="C966" t="str">
            <v>42674SWITZERLAND</v>
          </cell>
          <cell r="D966" t="str">
            <v>CHF</v>
          </cell>
          <cell r="E966">
            <v>2.6430719669002603</v>
          </cell>
          <cell r="F966">
            <v>0.21585070000000001</v>
          </cell>
          <cell r="G966" t="str">
            <v>SWITZERLAND</v>
          </cell>
          <cell r="H966">
            <v>4</v>
          </cell>
        </row>
        <row r="967">
          <cell r="B967" t="str">
            <v>42674CLP</v>
          </cell>
          <cell r="C967" t="str">
            <v>42674CHILE</v>
          </cell>
          <cell r="D967" t="str">
            <v>CLP</v>
          </cell>
          <cell r="E967">
            <v>5.4474953500336412</v>
          </cell>
          <cell r="F967">
            <v>3.0081229999999999</v>
          </cell>
          <cell r="G967" t="str">
            <v>CHILE</v>
          </cell>
          <cell r="H967">
            <v>5</v>
          </cell>
        </row>
        <row r="968">
          <cell r="B968" t="str">
            <v>42674CNY</v>
          </cell>
          <cell r="C968" t="str">
            <v>42674CHINA</v>
          </cell>
          <cell r="D968" t="str">
            <v>CNY</v>
          </cell>
          <cell r="E968">
            <v>4.7245247585930885</v>
          </cell>
          <cell r="F968">
            <v>1.8745223</v>
          </cell>
          <cell r="G968" t="str">
            <v>CHINA</v>
          </cell>
          <cell r="H968">
            <v>5</v>
          </cell>
        </row>
        <row r="969">
          <cell r="B969" t="str">
            <v>42674COP</v>
          </cell>
          <cell r="C969" t="str">
            <v>42674COLOMBIA</v>
          </cell>
          <cell r="D969" t="str">
            <v>COP</v>
          </cell>
          <cell r="E969">
            <v>6.3999413746283853</v>
          </cell>
          <cell r="F969">
            <v>4.4300839999999999</v>
          </cell>
          <cell r="G969" t="str">
            <v>COLOMBIA</v>
          </cell>
          <cell r="H969">
            <v>5</v>
          </cell>
        </row>
        <row r="970">
          <cell r="B970" t="str">
            <v>42674CZK</v>
          </cell>
          <cell r="C970" t="str">
            <v>42674CZECH REPUBLIC</v>
          </cell>
          <cell r="D970" t="str">
            <v>CZK</v>
          </cell>
          <cell r="E970">
            <v>3.9383105073900229</v>
          </cell>
          <cell r="F970">
            <v>1.5469063999999999</v>
          </cell>
          <cell r="G970" t="str">
            <v>CZECH REPUBLIC</v>
          </cell>
          <cell r="H970">
            <v>5</v>
          </cell>
        </row>
        <row r="971">
          <cell r="B971" t="str">
            <v>42674DKK</v>
          </cell>
          <cell r="C971" t="str">
            <v>42674DENMARK</v>
          </cell>
          <cell r="D971" t="str">
            <v>DKK</v>
          </cell>
          <cell r="E971">
            <v>3.5884260318330732</v>
          </cell>
          <cell r="F971">
            <v>1.1174596999999999</v>
          </cell>
          <cell r="G971" t="str">
            <v>DENMARK</v>
          </cell>
          <cell r="H971">
            <v>4</v>
          </cell>
        </row>
        <row r="972">
          <cell r="B972" t="str">
            <v>42674EGP</v>
          </cell>
          <cell r="C972" t="str">
            <v>42674EGYPT</v>
          </cell>
          <cell r="D972" t="str">
            <v>EGP</v>
          </cell>
          <cell r="E972">
            <v>13.824909055235549</v>
          </cell>
          <cell r="F972">
            <v>12.486775</v>
          </cell>
          <cell r="G972" t="str">
            <v>EGYPT</v>
          </cell>
          <cell r="H972">
            <v>6</v>
          </cell>
        </row>
        <row r="973">
          <cell r="B973" t="str">
            <v>42674EUR</v>
          </cell>
          <cell r="C973" t="str">
            <v>42674AUSTRIA</v>
          </cell>
          <cell r="D973" t="str">
            <v>EUR</v>
          </cell>
          <cell r="E973">
            <v>3.3851593640542612</v>
          </cell>
          <cell r="F973">
            <v>1.1025909666666664</v>
          </cell>
          <cell r="G973" t="str">
            <v>AUSTRIA</v>
          </cell>
          <cell r="H973">
            <v>4</v>
          </cell>
        </row>
        <row r="974">
          <cell r="B974" t="str">
            <v>42674GBP</v>
          </cell>
          <cell r="C974" t="str">
            <v>42674UNITED KINGDOM</v>
          </cell>
          <cell r="D974" t="str">
            <v>GBP</v>
          </cell>
          <cell r="E974">
            <v>4.2176414689261845</v>
          </cell>
          <cell r="F974">
            <v>2.0516016000000001</v>
          </cell>
          <cell r="G974" t="str">
            <v>UNITED KINGDOM</v>
          </cell>
          <cell r="H974">
            <v>4</v>
          </cell>
        </row>
        <row r="975">
          <cell r="B975" t="str">
            <v>42674GEL</v>
          </cell>
          <cell r="C975" t="str">
            <v>42674GEORGIA</v>
          </cell>
          <cell r="D975" t="str">
            <v>GEL</v>
          </cell>
          <cell r="E975">
            <v>5.3921435735881076</v>
          </cell>
          <cell r="F975">
            <v>3.4423333333333335</v>
          </cell>
          <cell r="G975" t="str">
            <v>GEORGIA</v>
          </cell>
          <cell r="H975">
            <v>5</v>
          </cell>
        </row>
        <row r="976">
          <cell r="B976" t="str">
            <v>42674HKD</v>
          </cell>
          <cell r="C976" t="str">
            <v>42674HONG KONG</v>
          </cell>
          <cell r="D976" t="str">
            <v>HKD</v>
          </cell>
          <cell r="E976">
            <v>4.9499026289057593</v>
          </cell>
          <cell r="F976">
            <v>2.1186701999999999</v>
          </cell>
          <cell r="G976" t="str">
            <v>HONG KONG</v>
          </cell>
          <cell r="H976">
            <v>4.2746221296873292</v>
          </cell>
        </row>
        <row r="977">
          <cell r="B977" t="str">
            <v>42674GHS</v>
          </cell>
          <cell r="C977" t="str">
            <v>42674GHANA</v>
          </cell>
          <cell r="D977" t="str">
            <v>GHS</v>
          </cell>
          <cell r="E977">
            <v>11.370392090121431</v>
          </cell>
          <cell r="F977">
            <v>11.144333333333332</v>
          </cell>
          <cell r="G977" t="str">
            <v>GHANA</v>
          </cell>
          <cell r="H977">
            <v>5</v>
          </cell>
        </row>
        <row r="978">
          <cell r="B978" t="str">
            <v>42674HRK</v>
          </cell>
          <cell r="C978" t="str">
            <v>42674CROATIA</v>
          </cell>
          <cell r="D978" t="str">
            <v>HRK</v>
          </cell>
          <cell r="E978">
            <v>3.3209506494321452</v>
          </cell>
          <cell r="F978">
            <v>0.47816666666666674</v>
          </cell>
          <cell r="G978" t="str">
            <v>CROATIA</v>
          </cell>
          <cell r="H978">
            <v>5</v>
          </cell>
        </row>
        <row r="979">
          <cell r="B979" t="str">
            <v>42674HUF</v>
          </cell>
          <cell r="C979" t="str">
            <v>42674HUNGARY</v>
          </cell>
          <cell r="D979" t="str">
            <v>HUF</v>
          </cell>
          <cell r="E979">
            <v>4.4253046746673999</v>
          </cell>
          <cell r="F979">
            <v>1.6264472999999999</v>
          </cell>
          <cell r="G979" t="str">
            <v>HUNGARY</v>
          </cell>
          <cell r="H979">
            <v>5</v>
          </cell>
        </row>
        <row r="980">
          <cell r="B980" t="str">
            <v>42674IDR</v>
          </cell>
          <cell r="C980" t="str">
            <v>42674INDONESIA</v>
          </cell>
          <cell r="D980" t="str">
            <v>IDR</v>
          </cell>
          <cell r="E980">
            <v>6.3702882196320845</v>
          </cell>
          <cell r="F980">
            <v>4.1865473</v>
          </cell>
          <cell r="G980" t="str">
            <v>INDONESIA</v>
          </cell>
          <cell r="H980">
            <v>5</v>
          </cell>
        </row>
        <row r="981">
          <cell r="B981" t="str">
            <v>42674ILS</v>
          </cell>
          <cell r="C981" t="str">
            <v>42674ISRAEL</v>
          </cell>
          <cell r="D981" t="str">
            <v>ILS</v>
          </cell>
          <cell r="E981">
            <v>3.4156539278355416</v>
          </cell>
          <cell r="F981">
            <v>0.7413902</v>
          </cell>
          <cell r="G981" t="str">
            <v>ISRAEL</v>
          </cell>
          <cell r="H981">
            <v>4</v>
          </cell>
        </row>
        <row r="982">
          <cell r="B982" t="str">
            <v>42674INR</v>
          </cell>
          <cell r="C982" t="str">
            <v>42674INDIA</v>
          </cell>
          <cell r="D982" t="str">
            <v>INR</v>
          </cell>
          <cell r="E982">
            <v>7.4774887317642182</v>
          </cell>
          <cell r="F982">
            <v>5.1242349999999997</v>
          </cell>
          <cell r="G982" t="str">
            <v>INDIA</v>
          </cell>
          <cell r="H982">
            <v>5</v>
          </cell>
        </row>
        <row r="983">
          <cell r="B983" t="str">
            <v>42674IQD</v>
          </cell>
          <cell r="C983" t="str">
            <v>42674IRAQ</v>
          </cell>
          <cell r="D983" t="str">
            <v>IQD</v>
          </cell>
          <cell r="E983">
            <v>4.2500000000000018</v>
          </cell>
          <cell r="F983">
            <v>2</v>
          </cell>
          <cell r="G983" t="str">
            <v>IRAQ</v>
          </cell>
          <cell r="H983">
            <v>5</v>
          </cell>
        </row>
        <row r="984">
          <cell r="B984" t="str">
            <v>42674JPY</v>
          </cell>
          <cell r="C984" t="str">
            <v>42674JAPAN</v>
          </cell>
          <cell r="D984" t="str">
            <v>JPY</v>
          </cell>
          <cell r="E984">
            <v>2.9897897786433516</v>
          </cell>
          <cell r="F984">
            <v>0.30533472</v>
          </cell>
          <cell r="G984" t="str">
            <v>JAPAN</v>
          </cell>
          <cell r="H984">
            <v>4</v>
          </cell>
        </row>
        <row r="985">
          <cell r="B985" t="str">
            <v>42674KES</v>
          </cell>
          <cell r="C985" t="str">
            <v>42674KENYA</v>
          </cell>
          <cell r="D985" t="str">
            <v>KES</v>
          </cell>
          <cell r="E985">
            <v>7.6084926403903221</v>
          </cell>
          <cell r="F985">
            <v>5.6209999999999996</v>
          </cell>
          <cell r="G985" t="str">
            <v>KENYA</v>
          </cell>
          <cell r="H985">
            <v>5</v>
          </cell>
        </row>
        <row r="986">
          <cell r="B986" t="str">
            <v>42674KHR</v>
          </cell>
          <cell r="C986" t="str">
            <v>42674CAMBODIA</v>
          </cell>
          <cell r="D986" t="str">
            <v>KHR</v>
          </cell>
          <cell r="E986">
            <v>5.2316942649170119</v>
          </cell>
          <cell r="F986">
            <v>2.7888333333333337</v>
          </cell>
          <cell r="G986" t="str">
            <v>CAMBODIA</v>
          </cell>
          <cell r="H986">
            <v>5</v>
          </cell>
        </row>
        <row r="987">
          <cell r="B987" t="str">
            <v>42674KRW</v>
          </cell>
          <cell r="C987" t="str">
            <v>42674KOREA SOUTH(REPUBLIC OF KOREA)</v>
          </cell>
          <cell r="D987" t="str">
            <v>KRW</v>
          </cell>
          <cell r="E987">
            <v>4.0236839542202842</v>
          </cell>
          <cell r="F987">
            <v>1.3195608000000001</v>
          </cell>
          <cell r="G987" t="str">
            <v>KOREA SOUTH(REPUBLIC OF KOREA)</v>
          </cell>
          <cell r="H987">
            <v>5</v>
          </cell>
        </row>
        <row r="988">
          <cell r="B988" t="str">
            <v>42674KWD</v>
          </cell>
          <cell r="C988" t="str">
            <v>42674KUWAIT</v>
          </cell>
          <cell r="D988" t="str">
            <v>KWD</v>
          </cell>
          <cell r="E988">
            <v>5.8499227798076738</v>
          </cell>
          <cell r="F988">
            <v>3.7333333333333334</v>
          </cell>
          <cell r="G988" t="str">
            <v>KUWAIT</v>
          </cell>
          <cell r="H988">
            <v>5</v>
          </cell>
        </row>
        <row r="989">
          <cell r="B989" t="str">
            <v>42674LKR</v>
          </cell>
          <cell r="C989" t="str">
            <v>42674SRI LANKA</v>
          </cell>
          <cell r="D989" t="str">
            <v>LKR</v>
          </cell>
          <cell r="E989">
            <v>7.1465574110770849</v>
          </cell>
          <cell r="F989">
            <v>4.7833332999999998</v>
          </cell>
          <cell r="G989" t="str">
            <v>SRI LANKA</v>
          </cell>
          <cell r="H989">
            <v>5</v>
          </cell>
        </row>
        <row r="990">
          <cell r="B990" t="str">
            <v>42674KZT</v>
          </cell>
          <cell r="C990" t="str">
            <v>42674KAZAKHSTAN</v>
          </cell>
          <cell r="D990" t="str">
            <v>KZT</v>
          </cell>
          <cell r="E990">
            <v>11.702472282512669</v>
          </cell>
          <cell r="F990">
            <v>9.8930000000000007</v>
          </cell>
          <cell r="G990" t="str">
            <v>KAZAKHSTAN</v>
          </cell>
          <cell r="H990">
            <v>5</v>
          </cell>
        </row>
        <row r="991">
          <cell r="B991" t="str">
            <v>42674MAD</v>
          </cell>
          <cell r="C991" t="str">
            <v>42674MOROCCO</v>
          </cell>
          <cell r="D991" t="str">
            <v>MAD</v>
          </cell>
          <cell r="E991">
            <v>3.8494689282919916</v>
          </cell>
          <cell r="F991">
            <v>1.3000000000000003</v>
          </cell>
          <cell r="G991" t="str">
            <v>MOROCCO</v>
          </cell>
          <cell r="H991">
            <v>5</v>
          </cell>
        </row>
        <row r="992">
          <cell r="B992" t="str">
            <v>42674MXN</v>
          </cell>
          <cell r="C992" t="str">
            <v>42674MEXICO</v>
          </cell>
          <cell r="D992" t="str">
            <v>MXN</v>
          </cell>
          <cell r="E992">
            <v>5.2830645078890717</v>
          </cell>
          <cell r="F992">
            <v>3.4496129</v>
          </cell>
          <cell r="G992" t="str">
            <v>MEXICO</v>
          </cell>
          <cell r="H992">
            <v>5</v>
          </cell>
        </row>
        <row r="993">
          <cell r="B993" t="str">
            <v>42674MYR</v>
          </cell>
          <cell r="C993" t="str">
            <v>42674MALAYSIA</v>
          </cell>
          <cell r="D993" t="str">
            <v>MYR</v>
          </cell>
          <cell r="E993">
            <v>5.0482023837028525</v>
          </cell>
          <cell r="F993">
            <v>2.4899146999999999</v>
          </cell>
          <cell r="G993" t="str">
            <v>MALAYSIA</v>
          </cell>
          <cell r="H993">
            <v>5</v>
          </cell>
        </row>
        <row r="994">
          <cell r="B994" t="str">
            <v>42674NGN</v>
          </cell>
          <cell r="C994" t="str">
            <v>42674NIGERIA</v>
          </cell>
          <cell r="D994" t="str">
            <v>NGN</v>
          </cell>
          <cell r="E994">
            <v>17.846980104209756</v>
          </cell>
          <cell r="F994">
            <v>13.144943</v>
          </cell>
          <cell r="G994" t="str">
            <v>NIGERIA</v>
          </cell>
          <cell r="H994">
            <v>7</v>
          </cell>
        </row>
        <row r="995">
          <cell r="B995" t="str">
            <v>42674NOK</v>
          </cell>
          <cell r="C995" t="str">
            <v>42674NORWAY</v>
          </cell>
          <cell r="D995" t="str">
            <v>NOK</v>
          </cell>
          <cell r="E995">
            <v>4.8495333363926898</v>
          </cell>
          <cell r="F995">
            <v>2.3918898</v>
          </cell>
          <cell r="G995" t="str">
            <v>NORWAY</v>
          </cell>
          <cell r="H995">
            <v>4</v>
          </cell>
        </row>
        <row r="996">
          <cell r="B996" t="str">
            <v>42674NZD</v>
          </cell>
          <cell r="C996" t="str">
            <v>42674NEW ZEALAND</v>
          </cell>
          <cell r="D996" t="str">
            <v>NZD</v>
          </cell>
          <cell r="E996">
            <v>3.8954970060277851</v>
          </cell>
          <cell r="F996">
            <v>1.335013</v>
          </cell>
          <cell r="G996" t="str">
            <v>NEW ZEALAND</v>
          </cell>
          <cell r="H996">
            <v>5.528069907549944</v>
          </cell>
        </row>
        <row r="997">
          <cell r="B997" t="str">
            <v>42674OMR</v>
          </cell>
          <cell r="C997" t="str">
            <v>42674OMAN</v>
          </cell>
          <cell r="D997" t="str">
            <v>OMR</v>
          </cell>
          <cell r="E997">
            <v>4.7996173308366732</v>
          </cell>
          <cell r="F997">
            <v>2.1186701999999999</v>
          </cell>
          <cell r="G997" t="str">
            <v>OMAN</v>
          </cell>
          <cell r="H997">
            <v>5</v>
          </cell>
        </row>
        <row r="998">
          <cell r="B998" t="str">
            <v>42674PEN</v>
          </cell>
          <cell r="C998" t="str">
            <v>42674PERU</v>
          </cell>
          <cell r="D998" t="str">
            <v>PEN</v>
          </cell>
          <cell r="E998">
            <v>4.9589292857872094</v>
          </cell>
          <cell r="F998">
            <v>2.7828846</v>
          </cell>
          <cell r="G998" t="str">
            <v>PERU</v>
          </cell>
          <cell r="H998">
            <v>5</v>
          </cell>
        </row>
        <row r="999">
          <cell r="B999" t="str">
            <v>42674PHP</v>
          </cell>
          <cell r="C999" t="str">
            <v>42674PHILIPPINES</v>
          </cell>
          <cell r="D999" t="str">
            <v>PHP</v>
          </cell>
          <cell r="E999">
            <v>5.4213923617381123</v>
          </cell>
          <cell r="F999">
            <v>2.6825117999999999</v>
          </cell>
          <cell r="G999" t="str">
            <v>PHILIPPINES</v>
          </cell>
          <cell r="H999">
            <v>5</v>
          </cell>
        </row>
        <row r="1000">
          <cell r="B1000" t="str">
            <v>42674PKR</v>
          </cell>
          <cell r="C1000" t="str">
            <v>42674PAKISTAN</v>
          </cell>
          <cell r="D1000" t="str">
            <v>PKR</v>
          </cell>
          <cell r="E1000">
            <v>6.8588829756929295</v>
          </cell>
          <cell r="F1000">
            <v>4.8333329999999997</v>
          </cell>
          <cell r="G1000" t="str">
            <v>PAKISTAN</v>
          </cell>
          <cell r="H1000">
            <v>5</v>
          </cell>
        </row>
        <row r="1001">
          <cell r="B1001" t="str">
            <v>42674PLN</v>
          </cell>
          <cell r="C1001" t="str">
            <v>42674POLAND</v>
          </cell>
          <cell r="D1001" t="str">
            <v>PLN</v>
          </cell>
          <cell r="E1001">
            <v>3.6694742112638048</v>
          </cell>
          <cell r="F1001">
            <v>1.0012684000000001</v>
          </cell>
          <cell r="G1001" t="str">
            <v>POLAND</v>
          </cell>
          <cell r="H1001">
            <v>5</v>
          </cell>
        </row>
        <row r="1002">
          <cell r="B1002" t="str">
            <v>42674QAR</v>
          </cell>
          <cell r="C1002" t="str">
            <v>42674QATAR</v>
          </cell>
          <cell r="D1002" t="str">
            <v>QAR</v>
          </cell>
          <cell r="E1002">
            <v>4.9229424636614318</v>
          </cell>
          <cell r="F1002">
            <v>2.1186701999999999</v>
          </cell>
          <cell r="G1002" t="str">
            <v>QATAR</v>
          </cell>
          <cell r="H1002">
            <v>5</v>
          </cell>
        </row>
        <row r="1003">
          <cell r="B1003" t="str">
            <v>42674RON</v>
          </cell>
          <cell r="C1003" t="str">
            <v>42674ROMANIA</v>
          </cell>
          <cell r="D1003" t="str">
            <v>RON</v>
          </cell>
          <cell r="E1003">
            <v>3.9515129985019861</v>
          </cell>
          <cell r="F1003">
            <v>1.3944285999999999</v>
          </cell>
          <cell r="G1003" t="str">
            <v>ROMANIA</v>
          </cell>
          <cell r="H1003">
            <v>5</v>
          </cell>
        </row>
        <row r="1004">
          <cell r="B1004" t="str">
            <v>42674RUB</v>
          </cell>
          <cell r="C1004" t="str">
            <v>42674RUSSIAN FEDERATION</v>
          </cell>
          <cell r="D1004" t="str">
            <v>RUB</v>
          </cell>
          <cell r="E1004">
            <v>7.1918878195997218</v>
          </cell>
          <cell r="F1004">
            <v>5.4808159999999999</v>
          </cell>
          <cell r="G1004" t="str">
            <v>RUSSIAN FEDERATION</v>
          </cell>
          <cell r="H1004">
            <v>5</v>
          </cell>
        </row>
        <row r="1005">
          <cell r="B1005" t="str">
            <v>42674SAR</v>
          </cell>
          <cell r="C1005" t="str">
            <v>42674SAUDI ARABIA</v>
          </cell>
          <cell r="D1005" t="str">
            <v>SAR</v>
          </cell>
          <cell r="E1005">
            <v>5.2006270130464474</v>
          </cell>
          <cell r="F1005">
            <v>2.1186701999999999</v>
          </cell>
          <cell r="G1005" t="str">
            <v>SAUDI ARABIA</v>
          </cell>
          <cell r="H1005">
            <v>5</v>
          </cell>
        </row>
        <row r="1006">
          <cell r="B1006" t="str">
            <v>42674SEK</v>
          </cell>
          <cell r="C1006" t="str">
            <v>42674SWEDEN</v>
          </cell>
          <cell r="D1006" t="str">
            <v>SEK</v>
          </cell>
          <cell r="E1006">
            <v>3.9425293207783687</v>
          </cell>
          <cell r="F1006">
            <v>1.4008423999999999</v>
          </cell>
          <cell r="G1006" t="str">
            <v>SWEDEN</v>
          </cell>
          <cell r="H1006">
            <v>4</v>
          </cell>
        </row>
        <row r="1007">
          <cell r="B1007" t="str">
            <v>42674SGD</v>
          </cell>
          <cell r="C1007" t="str">
            <v>42674SINGAPORE</v>
          </cell>
          <cell r="D1007" t="str">
            <v>SGD</v>
          </cell>
          <cell r="E1007">
            <v>3.5375869420093</v>
          </cell>
          <cell r="F1007">
            <v>0.58298974999999997</v>
          </cell>
          <cell r="G1007" t="str">
            <v>SINGAPORE</v>
          </cell>
          <cell r="H1007">
            <v>5</v>
          </cell>
        </row>
        <row r="1008">
          <cell r="B1008" t="str">
            <v>42674TZS</v>
          </cell>
          <cell r="C1008" t="str">
            <v>42674TANZANIA, UNITED REPUBLIC OF</v>
          </cell>
          <cell r="D1008" t="str">
            <v>TZS</v>
          </cell>
          <cell r="E1008">
            <v>7.2943624978498303</v>
          </cell>
          <cell r="F1008">
            <v>5.0370000000000008</v>
          </cell>
          <cell r="G1008" t="str">
            <v>TANZANIA, UNITED REPUBLIC OF</v>
          </cell>
          <cell r="H1008">
            <v>5</v>
          </cell>
        </row>
        <row r="1009">
          <cell r="B1009" t="str">
            <v>42674THB</v>
          </cell>
          <cell r="C1009" t="str">
            <v>42674THAILAND</v>
          </cell>
          <cell r="D1009" t="str">
            <v>THB</v>
          </cell>
          <cell r="E1009">
            <v>3.8511922752788621</v>
          </cell>
          <cell r="F1009">
            <v>1.5004275</v>
          </cell>
          <cell r="G1009" t="str">
            <v>THAILAND</v>
          </cell>
          <cell r="H1009">
            <v>5.6863946667304379</v>
          </cell>
        </row>
        <row r="1010">
          <cell r="B1010" t="str">
            <v>42674TRY</v>
          </cell>
          <cell r="C1010" t="str">
            <v>42674TURKEY</v>
          </cell>
          <cell r="D1010" t="str">
            <v>TRY</v>
          </cell>
          <cell r="E1010">
            <v>9.570318353270272</v>
          </cell>
          <cell r="F1010">
            <v>7.7615179999999997</v>
          </cell>
          <cell r="G1010" t="str">
            <v>TURKEY</v>
          </cell>
          <cell r="H1010">
            <v>6</v>
          </cell>
        </row>
        <row r="1011">
          <cell r="B1011" t="str">
            <v>42674TWD</v>
          </cell>
          <cell r="C1011" t="str">
            <v>42674TAIWAN</v>
          </cell>
          <cell r="D1011" t="str">
            <v>TWD</v>
          </cell>
          <cell r="E1011">
            <v>3.6096530623692926</v>
          </cell>
          <cell r="F1011">
            <v>1.0940753999999999</v>
          </cell>
          <cell r="G1011" t="str">
            <v>TAIWAN</v>
          </cell>
          <cell r="H1011">
            <v>5</v>
          </cell>
        </row>
        <row r="1012">
          <cell r="B1012" t="str">
            <v>42674UAH</v>
          </cell>
          <cell r="C1012" t="str">
            <v>42674UKRAINE</v>
          </cell>
          <cell r="D1012" t="str">
            <v>UAH</v>
          </cell>
          <cell r="E1012">
            <v>11.431802047705045</v>
          </cell>
          <cell r="F1012">
            <v>10.382999</v>
          </cell>
          <cell r="G1012" t="str">
            <v>UKRAINE</v>
          </cell>
          <cell r="H1012">
            <v>5</v>
          </cell>
        </row>
        <row r="1013">
          <cell r="B1013" t="str">
            <v>42674USD</v>
          </cell>
          <cell r="C1013" t="str">
            <v>42674UNITED STATES</v>
          </cell>
          <cell r="D1013" t="str">
            <v>USD</v>
          </cell>
          <cell r="E1013">
            <v>4.4638459635544949</v>
          </cell>
          <cell r="F1013">
            <v>2.1186701999999999</v>
          </cell>
          <cell r="G1013" t="str">
            <v>UNITED STATES</v>
          </cell>
          <cell r="H1013">
            <v>4</v>
          </cell>
        </row>
        <row r="1014">
          <cell r="B1014" t="str">
            <v>42674VND</v>
          </cell>
          <cell r="C1014" t="str">
            <v>42674VIET NAM</v>
          </cell>
          <cell r="D1014" t="str">
            <v>VND</v>
          </cell>
          <cell r="E1014">
            <v>5.7670905408208331</v>
          </cell>
          <cell r="F1014">
            <v>3.75</v>
          </cell>
          <cell r="G1014" t="str">
            <v>VIET NAM</v>
          </cell>
          <cell r="H1014">
            <v>7</v>
          </cell>
        </row>
        <row r="1015">
          <cell r="B1015" t="str">
            <v>42674XOF</v>
          </cell>
          <cell r="C1015" t="str">
            <v>42674MALI</v>
          </cell>
          <cell r="D1015" t="str">
            <v>XOF</v>
          </cell>
          <cell r="E1015">
            <v>3.9239245524888036</v>
          </cell>
          <cell r="G1015" t="str">
            <v>MALI</v>
          </cell>
          <cell r="H1015">
            <v>6</v>
          </cell>
        </row>
        <row r="1016">
          <cell r="B1016" t="str">
            <v>42674ZAR</v>
          </cell>
          <cell r="C1016" t="str">
            <v>42674SOUTH AFRICA</v>
          </cell>
          <cell r="D1016" t="str">
            <v>ZAR</v>
          </cell>
          <cell r="E1016">
            <v>8.0381491428311662</v>
          </cell>
          <cell r="F1016">
            <v>5.9761863000000002</v>
          </cell>
          <cell r="G1016" t="str">
            <v>SOUTH AFRICA</v>
          </cell>
          <cell r="H1016">
            <v>5</v>
          </cell>
        </row>
        <row r="1017">
          <cell r="B1017" t="str">
            <v>42674ZMW</v>
          </cell>
          <cell r="C1017" t="str">
            <v>42674ZAMBIA</v>
          </cell>
          <cell r="D1017" t="str">
            <v>ZMW</v>
          </cell>
          <cell r="E1017">
            <v>11.713800571851412</v>
          </cell>
          <cell r="G1017" t="str">
            <v>ZAMBIA</v>
          </cell>
          <cell r="H1017">
            <v>6</v>
          </cell>
        </row>
        <row r="1018">
          <cell r="B1018" t="str">
            <v>42674EUR1</v>
          </cell>
          <cell r="C1018" t="str">
            <v>42674BELGIUM</v>
          </cell>
          <cell r="D1018" t="str">
            <v>EUR1</v>
          </cell>
          <cell r="E1018">
            <v>3.3851593640542612</v>
          </cell>
          <cell r="G1018" t="str">
            <v>BELGIUM</v>
          </cell>
          <cell r="H1018">
            <v>4</v>
          </cell>
        </row>
        <row r="1019">
          <cell r="B1019" t="str">
            <v>42674EUR2</v>
          </cell>
          <cell r="C1019" t="str">
            <v>42674CYPRUS</v>
          </cell>
          <cell r="D1019" t="str">
            <v>EUR2</v>
          </cell>
          <cell r="E1019">
            <v>3.3851593640542612</v>
          </cell>
          <cell r="G1019" t="str">
            <v>CYPRUS</v>
          </cell>
          <cell r="H1019">
            <v>5</v>
          </cell>
        </row>
        <row r="1020">
          <cell r="B1020" t="str">
            <v>42674EUR3</v>
          </cell>
          <cell r="C1020" t="str">
            <v>42674ESTONIA</v>
          </cell>
          <cell r="D1020" t="str">
            <v>EUR3</v>
          </cell>
          <cell r="E1020">
            <v>3.3851593640542612</v>
          </cell>
          <cell r="G1020" t="str">
            <v>ESTONIA</v>
          </cell>
          <cell r="H1020">
            <v>5</v>
          </cell>
        </row>
        <row r="1021">
          <cell r="B1021" t="str">
            <v>42674EUR4</v>
          </cell>
          <cell r="C1021" t="str">
            <v>42674FINLAND</v>
          </cell>
          <cell r="D1021" t="str">
            <v>EUR4</v>
          </cell>
          <cell r="E1021">
            <v>3.3851593640542612</v>
          </cell>
          <cell r="G1021" t="str">
            <v>FINLAND</v>
          </cell>
          <cell r="H1021">
            <v>4</v>
          </cell>
        </row>
        <row r="1022">
          <cell r="B1022" t="str">
            <v>42674EUR5</v>
          </cell>
          <cell r="C1022" t="str">
            <v>42674FRANCE</v>
          </cell>
          <cell r="D1022" t="str">
            <v>EUR5</v>
          </cell>
          <cell r="E1022">
            <v>3.3851593640542612</v>
          </cell>
          <cell r="G1022" t="str">
            <v>FRANCE</v>
          </cell>
          <cell r="H1022">
            <v>4</v>
          </cell>
        </row>
        <row r="1023">
          <cell r="B1023" t="str">
            <v>42674EUR6</v>
          </cell>
          <cell r="C1023" t="str">
            <v>42674GERMANY</v>
          </cell>
          <cell r="D1023" t="str">
            <v>EUR6</v>
          </cell>
          <cell r="E1023">
            <v>3.3851593640542612</v>
          </cell>
          <cell r="G1023" t="str">
            <v>GERMANY</v>
          </cell>
          <cell r="H1023">
            <v>4.321382367794798</v>
          </cell>
        </row>
        <row r="1024">
          <cell r="B1024" t="str">
            <v>42674EUR7</v>
          </cell>
          <cell r="C1024" t="str">
            <v>42674GREECE</v>
          </cell>
          <cell r="D1024" t="str">
            <v>EUR7</v>
          </cell>
          <cell r="E1024">
            <v>3.3851593640542612</v>
          </cell>
          <cell r="G1024" t="str">
            <v>GREECE</v>
          </cell>
          <cell r="H1024">
            <v>10</v>
          </cell>
        </row>
        <row r="1025">
          <cell r="B1025" t="str">
            <v>42674EUR8</v>
          </cell>
          <cell r="C1025" t="str">
            <v>42674IRELAND</v>
          </cell>
          <cell r="D1025" t="str">
            <v>EUR8</v>
          </cell>
          <cell r="E1025">
            <v>3.3851593640542612</v>
          </cell>
          <cell r="G1025" t="str">
            <v>IRELAND</v>
          </cell>
          <cell r="H1025">
            <v>4</v>
          </cell>
        </row>
        <row r="1026">
          <cell r="B1026" t="str">
            <v>42674EUR9</v>
          </cell>
          <cell r="C1026" t="str">
            <v>42674ITALY</v>
          </cell>
          <cell r="D1026" t="str">
            <v>EUR9</v>
          </cell>
          <cell r="E1026">
            <v>3.3851593640542612</v>
          </cell>
          <cell r="G1026" t="str">
            <v>ITALY</v>
          </cell>
          <cell r="H1026">
            <v>4</v>
          </cell>
        </row>
        <row r="1027">
          <cell r="B1027" t="str">
            <v>42674EUR10</v>
          </cell>
          <cell r="C1027" t="str">
            <v>42674LATVIA</v>
          </cell>
          <cell r="D1027" t="str">
            <v>EUR10</v>
          </cell>
          <cell r="E1027">
            <v>3.3851593640542612</v>
          </cell>
          <cell r="G1027" t="str">
            <v>LATVIA</v>
          </cell>
          <cell r="H1027">
            <v>5</v>
          </cell>
        </row>
        <row r="1028">
          <cell r="B1028" t="str">
            <v>42674EUR11</v>
          </cell>
          <cell r="C1028" t="str">
            <v>42674LUXEMBOURG</v>
          </cell>
          <cell r="D1028" t="str">
            <v>EUR11</v>
          </cell>
          <cell r="E1028">
            <v>3.3851593640542612</v>
          </cell>
          <cell r="G1028" t="str">
            <v>LUXEMBOURG</v>
          </cell>
          <cell r="H1028">
            <v>4</v>
          </cell>
        </row>
        <row r="1029">
          <cell r="B1029" t="str">
            <v>42674EUR12</v>
          </cell>
          <cell r="C1029" t="str">
            <v>42674MALTA</v>
          </cell>
          <cell r="D1029" t="str">
            <v>EUR12</v>
          </cell>
          <cell r="E1029">
            <v>3.3851593640542612</v>
          </cell>
          <cell r="G1029" t="str">
            <v>MALTA</v>
          </cell>
          <cell r="H1029">
            <v>5</v>
          </cell>
        </row>
        <row r="1030">
          <cell r="B1030" t="str">
            <v>42674EUR13</v>
          </cell>
          <cell r="C1030" t="str">
            <v>42674MONTENEGRO</v>
          </cell>
          <cell r="D1030" t="str">
            <v>EUR13</v>
          </cell>
          <cell r="E1030">
            <v>3.3851593640542612</v>
          </cell>
          <cell r="G1030" t="str">
            <v>MONTENEGRO</v>
          </cell>
          <cell r="H1030">
            <v>5</v>
          </cell>
        </row>
        <row r="1031">
          <cell r="B1031" t="str">
            <v>42674EUR14</v>
          </cell>
          <cell r="C1031" t="str">
            <v>42674NETHERLANDS</v>
          </cell>
          <cell r="D1031" t="str">
            <v>EUR14</v>
          </cell>
          <cell r="E1031">
            <v>3.3851593640542612</v>
          </cell>
          <cell r="G1031" t="str">
            <v>NETHERLANDS</v>
          </cell>
          <cell r="H1031">
            <v>4</v>
          </cell>
        </row>
        <row r="1032">
          <cell r="B1032" t="str">
            <v>42674EUR15</v>
          </cell>
          <cell r="C1032" t="str">
            <v>42674PORTUGAL</v>
          </cell>
          <cell r="D1032" t="str">
            <v>EUR15</v>
          </cell>
          <cell r="E1032">
            <v>3.3851593640542612</v>
          </cell>
          <cell r="G1032" t="str">
            <v>PORTUGAL</v>
          </cell>
          <cell r="H1032">
            <v>4</v>
          </cell>
        </row>
        <row r="1033">
          <cell r="B1033" t="str">
            <v>42674EUR16</v>
          </cell>
          <cell r="C1033" t="str">
            <v>42674SLOVAKIA</v>
          </cell>
          <cell r="D1033" t="str">
            <v>EUR16</v>
          </cell>
          <cell r="E1033">
            <v>3.3851593640542612</v>
          </cell>
          <cell r="G1033" t="str">
            <v>SLOVAKIA</v>
          </cell>
          <cell r="H1033">
            <v>5</v>
          </cell>
        </row>
        <row r="1034">
          <cell r="B1034" t="str">
            <v>42674EUR17</v>
          </cell>
          <cell r="C1034" t="str">
            <v>42674SLOVENIA</v>
          </cell>
          <cell r="D1034" t="str">
            <v>EUR17</v>
          </cell>
          <cell r="E1034">
            <v>3.3851593640542612</v>
          </cell>
          <cell r="G1034" t="str">
            <v>SLOVENIA</v>
          </cell>
          <cell r="H1034">
            <v>5</v>
          </cell>
        </row>
        <row r="1035">
          <cell r="B1035" t="str">
            <v>42674EUR18</v>
          </cell>
          <cell r="C1035" t="str">
            <v>42674SPAIN</v>
          </cell>
          <cell r="D1035" t="str">
            <v>EUR18</v>
          </cell>
          <cell r="E1035">
            <v>3.3851593640542612</v>
          </cell>
          <cell r="G1035" t="str">
            <v>SPAIN</v>
          </cell>
          <cell r="H1035">
            <v>4</v>
          </cell>
        </row>
        <row r="1036">
          <cell r="B1036" t="str">
            <v>42674Eastern European Institutions</v>
          </cell>
          <cell r="C1036" t="str">
            <v>42674Eastern European Institutions</v>
          </cell>
          <cell r="D1036" t="str">
            <v>Eastern European Institutions</v>
          </cell>
          <cell r="E1036">
            <v>2.25</v>
          </cell>
          <cell r="G1036" t="str">
            <v>Eastern European Institutions</v>
          </cell>
          <cell r="H1036">
            <v>5</v>
          </cell>
        </row>
        <row r="1037">
          <cell r="B1037" t="str">
            <v>42704AED</v>
          </cell>
          <cell r="C1037" t="str">
            <v>42704U. A. E.</v>
          </cell>
          <cell r="D1037" t="str">
            <v>AED</v>
          </cell>
          <cell r="E1037">
            <v>5.5838658449017178</v>
          </cell>
          <cell r="F1037">
            <v>2.197508</v>
          </cell>
          <cell r="G1037" t="str">
            <v>U. A. E.</v>
          </cell>
          <cell r="H1037">
            <v>5</v>
          </cell>
        </row>
        <row r="1038">
          <cell r="B1038" t="str">
            <v>42704ARS</v>
          </cell>
          <cell r="C1038" t="str">
            <v>42704ARGENTINA</v>
          </cell>
          <cell r="D1038" t="str">
            <v>ARS</v>
          </cell>
          <cell r="E1038">
            <v>20.914891568350427</v>
          </cell>
          <cell r="F1038">
            <v>22.481241000000001</v>
          </cell>
          <cell r="G1038" t="str">
            <v>ARGENTINA</v>
          </cell>
          <cell r="H1038">
            <v>5</v>
          </cell>
        </row>
        <row r="1039">
          <cell r="B1039" t="str">
            <v>42704AUD</v>
          </cell>
          <cell r="C1039" t="str">
            <v>42704AUSTRALIA</v>
          </cell>
          <cell r="D1039" t="str">
            <v>AUD</v>
          </cell>
          <cell r="E1039">
            <v>4.4235669135777291</v>
          </cell>
          <cell r="F1039">
            <v>2.0428133000000002</v>
          </cell>
          <cell r="G1039" t="str">
            <v>AUSTRALIA</v>
          </cell>
          <cell r="H1039">
            <v>5</v>
          </cell>
        </row>
        <row r="1040">
          <cell r="B1040" t="str">
            <v>42704BDT</v>
          </cell>
          <cell r="C1040" t="str">
            <v>42704BANGLADESH</v>
          </cell>
          <cell r="D1040" t="str">
            <v>BDT</v>
          </cell>
          <cell r="E1040">
            <v>8.7282761424205138</v>
          </cell>
          <cell r="F1040">
            <v>6.1211205</v>
          </cell>
          <cell r="G1040" t="str">
            <v>BANGLADESH</v>
          </cell>
          <cell r="H1040">
            <v>5</v>
          </cell>
        </row>
        <row r="1041">
          <cell r="B1041" t="str">
            <v>42704BRL</v>
          </cell>
          <cell r="C1041" t="str">
            <v>42704BRAZIL</v>
          </cell>
          <cell r="D1041" t="str">
            <v>BRL</v>
          </cell>
          <cell r="E1041">
            <v>7.8917448905228262</v>
          </cell>
          <cell r="F1041">
            <v>5.2031679999999998</v>
          </cell>
          <cell r="G1041" t="str">
            <v>BRAZIL</v>
          </cell>
          <cell r="H1041">
            <v>6</v>
          </cell>
        </row>
        <row r="1042">
          <cell r="B1042" t="str">
            <v>42704BWP</v>
          </cell>
          <cell r="C1042" t="str">
            <v>42704BOTSWANA</v>
          </cell>
          <cell r="D1042" t="str">
            <v>BWP</v>
          </cell>
          <cell r="E1042">
            <v>6.0491996276506734</v>
          </cell>
          <cell r="F1042">
            <v>3.4291666666666667</v>
          </cell>
          <cell r="G1042" t="str">
            <v>BOTSWANA</v>
          </cell>
          <cell r="H1042">
            <v>5</v>
          </cell>
        </row>
        <row r="1043">
          <cell r="B1043" t="str">
            <v>42704CAD</v>
          </cell>
          <cell r="C1043" t="str">
            <v>42704CANADA</v>
          </cell>
          <cell r="D1043" t="str">
            <v>CAD</v>
          </cell>
          <cell r="E1043">
            <v>4.2034582929771727</v>
          </cell>
          <cell r="F1043">
            <v>1.9577541000000001</v>
          </cell>
          <cell r="G1043" t="str">
            <v>CANADA</v>
          </cell>
          <cell r="H1043">
            <v>4</v>
          </cell>
        </row>
        <row r="1044">
          <cell r="B1044" t="str">
            <v>42704CHF</v>
          </cell>
          <cell r="C1044" t="str">
            <v>42704SWITZERLAND</v>
          </cell>
          <cell r="D1044" t="str">
            <v>CHF</v>
          </cell>
          <cell r="E1044">
            <v>2.6430719669002603</v>
          </cell>
          <cell r="F1044">
            <v>0.27491497999999998</v>
          </cell>
          <cell r="G1044" t="str">
            <v>SWITZERLAND</v>
          </cell>
          <cell r="H1044">
            <v>4</v>
          </cell>
        </row>
        <row r="1045">
          <cell r="B1045" t="str">
            <v>42704CLP</v>
          </cell>
          <cell r="C1045" t="str">
            <v>42704CHILE</v>
          </cell>
          <cell r="D1045" t="str">
            <v>CLP</v>
          </cell>
          <cell r="E1045">
            <v>5.4474953500336412</v>
          </cell>
          <cell r="F1045">
            <v>2.9226622999999998</v>
          </cell>
          <cell r="G1045" t="str">
            <v>CHILE</v>
          </cell>
          <cell r="H1045">
            <v>5</v>
          </cell>
        </row>
        <row r="1046">
          <cell r="B1046" t="str">
            <v>42704CNY</v>
          </cell>
          <cell r="C1046" t="str">
            <v>42704CHINA</v>
          </cell>
          <cell r="D1046" t="str">
            <v>CNY</v>
          </cell>
          <cell r="E1046">
            <v>4.7245247585930885</v>
          </cell>
          <cell r="F1046">
            <v>1.8680852999999999</v>
          </cell>
          <cell r="G1046" t="str">
            <v>CHINA</v>
          </cell>
          <cell r="H1046">
            <v>5</v>
          </cell>
        </row>
        <row r="1047">
          <cell r="B1047" t="str">
            <v>42704COP</v>
          </cell>
          <cell r="C1047" t="str">
            <v>42704COLOMBIA</v>
          </cell>
          <cell r="D1047" t="str">
            <v>COP</v>
          </cell>
          <cell r="E1047">
            <v>6.3999413746283853</v>
          </cell>
          <cell r="F1047">
            <v>4.3352684999999997</v>
          </cell>
          <cell r="G1047" t="str">
            <v>COLOMBIA</v>
          </cell>
          <cell r="H1047">
            <v>5</v>
          </cell>
        </row>
        <row r="1048">
          <cell r="B1048" t="str">
            <v>42704CZK</v>
          </cell>
          <cell r="C1048" t="str">
            <v>42704CZECH REPUBLIC</v>
          </cell>
          <cell r="D1048" t="str">
            <v>CZK</v>
          </cell>
          <cell r="E1048">
            <v>3.9383105073900229</v>
          </cell>
          <cell r="F1048">
            <v>1.6942067000000001</v>
          </cell>
          <cell r="G1048" t="str">
            <v>CZECH REPUBLIC</v>
          </cell>
          <cell r="H1048">
            <v>5</v>
          </cell>
        </row>
        <row r="1049">
          <cell r="B1049" t="str">
            <v>42704DKK</v>
          </cell>
          <cell r="C1049" t="str">
            <v>42704DENMARK</v>
          </cell>
          <cell r="D1049" t="str">
            <v>DKK</v>
          </cell>
          <cell r="E1049">
            <v>3.5884260318330732</v>
          </cell>
          <cell r="F1049">
            <v>1.2113558</v>
          </cell>
          <cell r="G1049" t="str">
            <v>DENMARK</v>
          </cell>
          <cell r="H1049">
            <v>4</v>
          </cell>
        </row>
        <row r="1050">
          <cell r="B1050" t="str">
            <v>42704EGP</v>
          </cell>
          <cell r="C1050" t="str">
            <v>42704EGYPT</v>
          </cell>
          <cell r="D1050" t="str">
            <v>EGP</v>
          </cell>
          <cell r="E1050">
            <v>13.824909055235549</v>
          </cell>
          <cell r="F1050">
            <v>13.196966</v>
          </cell>
          <cell r="G1050" t="str">
            <v>EGYPT</v>
          </cell>
          <cell r="H1050">
            <v>6</v>
          </cell>
        </row>
        <row r="1051">
          <cell r="B1051" t="str">
            <v>42704EUR</v>
          </cell>
          <cell r="C1051" t="str">
            <v>42704AUSTRIA</v>
          </cell>
          <cell r="D1051" t="str">
            <v>EUR</v>
          </cell>
          <cell r="E1051">
            <v>3.3851593640542612</v>
          </cell>
          <cell r="F1051">
            <v>1.1876184416666666</v>
          </cell>
          <cell r="G1051" t="str">
            <v>AUSTRIA</v>
          </cell>
          <cell r="H1051">
            <v>4</v>
          </cell>
        </row>
        <row r="1052">
          <cell r="B1052" t="str">
            <v>42704GBP</v>
          </cell>
          <cell r="C1052" t="str">
            <v>42704UNITED KINGDOM</v>
          </cell>
          <cell r="D1052" t="str">
            <v>GBP</v>
          </cell>
          <cell r="E1052">
            <v>4.2176414689261845</v>
          </cell>
          <cell r="F1052">
            <v>2.3546276000000002</v>
          </cell>
          <cell r="G1052" t="str">
            <v>UNITED KINGDOM</v>
          </cell>
          <cell r="H1052">
            <v>4</v>
          </cell>
        </row>
        <row r="1053">
          <cell r="B1053" t="str">
            <v>42704GEL</v>
          </cell>
          <cell r="C1053" t="str">
            <v>42704GEORGIA</v>
          </cell>
          <cell r="D1053" t="str">
            <v>GEL</v>
          </cell>
          <cell r="E1053">
            <v>5.3921435735881076</v>
          </cell>
          <cell r="F1053">
            <v>3.5261666666666667</v>
          </cell>
          <cell r="G1053" t="str">
            <v>GEORGIA</v>
          </cell>
          <cell r="H1053">
            <v>5</v>
          </cell>
        </row>
        <row r="1054">
          <cell r="B1054" t="str">
            <v>42704HKD</v>
          </cell>
          <cell r="C1054" t="str">
            <v>42704HONG KONG</v>
          </cell>
          <cell r="D1054" t="str">
            <v>HKD</v>
          </cell>
          <cell r="E1054">
            <v>4.9499026289057593</v>
          </cell>
          <cell r="F1054">
            <v>2.197508</v>
          </cell>
          <cell r="G1054" t="str">
            <v>HONG KONG</v>
          </cell>
          <cell r="H1054">
            <v>4.2746221296873292</v>
          </cell>
        </row>
        <row r="1055">
          <cell r="B1055" t="str">
            <v>42704GHS</v>
          </cell>
          <cell r="C1055" t="str">
            <v>42704GHANA</v>
          </cell>
          <cell r="D1055" t="str">
            <v>GHS</v>
          </cell>
          <cell r="E1055">
            <v>11.370392090121431</v>
          </cell>
          <cell r="F1055">
            <v>10.556666666666667</v>
          </cell>
          <cell r="G1055" t="str">
            <v>GHANA</v>
          </cell>
          <cell r="H1055">
            <v>5</v>
          </cell>
        </row>
        <row r="1056">
          <cell r="B1056" t="str">
            <v>42704HRK</v>
          </cell>
          <cell r="C1056" t="str">
            <v>42704CROATIA</v>
          </cell>
          <cell r="D1056" t="str">
            <v>HRK</v>
          </cell>
          <cell r="E1056">
            <v>3.3209506494321452</v>
          </cell>
          <cell r="F1056">
            <v>0.62458333333333327</v>
          </cell>
          <cell r="G1056" t="str">
            <v>CROATIA</v>
          </cell>
          <cell r="H1056">
            <v>5</v>
          </cell>
        </row>
        <row r="1057">
          <cell r="B1057" t="str">
            <v>42704HUF</v>
          </cell>
          <cell r="C1057" t="str">
            <v>42704HUNGARY</v>
          </cell>
          <cell r="D1057" t="str">
            <v>HUF</v>
          </cell>
          <cell r="E1057">
            <v>4.4253046746673999</v>
          </cell>
          <cell r="F1057">
            <v>1.7666496</v>
          </cell>
          <cell r="G1057" t="str">
            <v>HUNGARY</v>
          </cell>
          <cell r="H1057">
            <v>5</v>
          </cell>
        </row>
        <row r="1058">
          <cell r="B1058" t="str">
            <v>42704IDR</v>
          </cell>
          <cell r="C1058" t="str">
            <v>42704INDONESIA</v>
          </cell>
          <cell r="D1058" t="str">
            <v>IDR</v>
          </cell>
          <cell r="E1058">
            <v>6.3702882196320845</v>
          </cell>
          <cell r="F1058">
            <v>4.1762550000000003</v>
          </cell>
          <cell r="G1058" t="str">
            <v>INDONESIA</v>
          </cell>
          <cell r="H1058">
            <v>5</v>
          </cell>
        </row>
        <row r="1059">
          <cell r="B1059" t="str">
            <v>42704ILS</v>
          </cell>
          <cell r="C1059" t="str">
            <v>42704ISRAEL</v>
          </cell>
          <cell r="D1059" t="str">
            <v>ILS</v>
          </cell>
          <cell r="E1059">
            <v>3.4156539278355416</v>
          </cell>
          <cell r="F1059">
            <v>0.90160510000000005</v>
          </cell>
          <cell r="G1059" t="str">
            <v>ISRAEL</v>
          </cell>
          <cell r="H1059">
            <v>4</v>
          </cell>
        </row>
        <row r="1060">
          <cell r="B1060" t="str">
            <v>42704INR</v>
          </cell>
          <cell r="C1060" t="str">
            <v>42704INDIA</v>
          </cell>
          <cell r="D1060" t="str">
            <v>INR</v>
          </cell>
          <cell r="E1060">
            <v>7.4774887317642182</v>
          </cell>
          <cell r="F1060">
            <v>5.0757560000000002</v>
          </cell>
          <cell r="G1060" t="str">
            <v>INDIA</v>
          </cell>
          <cell r="H1060">
            <v>5</v>
          </cell>
        </row>
        <row r="1061">
          <cell r="B1061" t="str">
            <v>42704IQD</v>
          </cell>
          <cell r="C1061" t="str">
            <v>42704IRAQ</v>
          </cell>
          <cell r="D1061" t="str">
            <v>IQD</v>
          </cell>
          <cell r="E1061">
            <v>4.2500000000000018</v>
          </cell>
          <cell r="F1061">
            <v>2</v>
          </cell>
          <cell r="G1061" t="str">
            <v>IRAQ</v>
          </cell>
          <cell r="H1061">
            <v>5</v>
          </cell>
        </row>
        <row r="1062">
          <cell r="B1062" t="str">
            <v>42704JPY</v>
          </cell>
          <cell r="C1062" t="str">
            <v>42704JAPAN</v>
          </cell>
          <cell r="D1062" t="str">
            <v>JPY</v>
          </cell>
          <cell r="E1062">
            <v>2.9897897786433516</v>
          </cell>
          <cell r="F1062">
            <v>0.35669127</v>
          </cell>
          <cell r="G1062" t="str">
            <v>JAPAN</v>
          </cell>
          <cell r="H1062">
            <v>4</v>
          </cell>
        </row>
        <row r="1063">
          <cell r="B1063" t="str">
            <v>42704KES</v>
          </cell>
          <cell r="C1063" t="str">
            <v>42704KENYA</v>
          </cell>
          <cell r="D1063" t="str">
            <v>KES</v>
          </cell>
          <cell r="E1063">
            <v>7.6084926403903221</v>
          </cell>
          <cell r="F1063">
            <v>5.6209999999999996</v>
          </cell>
          <cell r="G1063" t="str">
            <v>KENYA</v>
          </cell>
          <cell r="H1063">
            <v>6.5</v>
          </cell>
        </row>
        <row r="1064">
          <cell r="B1064" t="str">
            <v>42704KHR</v>
          </cell>
          <cell r="C1064" t="str">
            <v>42704CAMBODIA</v>
          </cell>
          <cell r="D1064" t="str">
            <v>KHR</v>
          </cell>
          <cell r="E1064">
            <v>5.2316942649170119</v>
          </cell>
          <cell r="F1064">
            <v>2.7609166666666667</v>
          </cell>
          <cell r="G1064" t="str">
            <v>CAMBODIA</v>
          </cell>
          <cell r="H1064">
            <v>5</v>
          </cell>
        </row>
        <row r="1065">
          <cell r="B1065" t="str">
            <v>42704KRW</v>
          </cell>
          <cell r="C1065" t="str">
            <v>42704KOREA SOUTH(REPUBLIC OF KOREA)</v>
          </cell>
          <cell r="D1065" t="str">
            <v>KRW</v>
          </cell>
          <cell r="E1065">
            <v>4.0236839542202842</v>
          </cell>
          <cell r="F1065">
            <v>1.5433555000000001</v>
          </cell>
          <cell r="G1065" t="str">
            <v>KOREA SOUTH(REPUBLIC OF KOREA)</v>
          </cell>
          <cell r="H1065">
            <v>5</v>
          </cell>
        </row>
        <row r="1066">
          <cell r="B1066" t="str">
            <v>42704KWD</v>
          </cell>
          <cell r="C1066" t="str">
            <v>42704KUWAIT</v>
          </cell>
          <cell r="D1066" t="str">
            <v>KWD</v>
          </cell>
          <cell r="E1066">
            <v>5.8499227798076738</v>
          </cell>
          <cell r="F1066">
            <v>3.7666666666666662</v>
          </cell>
          <cell r="G1066" t="str">
            <v>KUWAIT</v>
          </cell>
          <cell r="H1066">
            <v>5</v>
          </cell>
        </row>
        <row r="1067">
          <cell r="B1067" t="str">
            <v>42704LKR</v>
          </cell>
          <cell r="C1067" t="str">
            <v>42704SRI LANKA</v>
          </cell>
          <cell r="D1067" t="str">
            <v>LKR</v>
          </cell>
          <cell r="E1067">
            <v>7.1465574110770849</v>
          </cell>
          <cell r="F1067">
            <v>4.8408480000000003</v>
          </cell>
          <cell r="G1067" t="str">
            <v>SRI LANKA</v>
          </cell>
          <cell r="H1067">
            <v>5</v>
          </cell>
        </row>
        <row r="1068">
          <cell r="B1068" t="str">
            <v>42704KZT</v>
          </cell>
          <cell r="C1068" t="str">
            <v>42704KAZAKHSTAN</v>
          </cell>
          <cell r="D1068" t="str">
            <v>KZT</v>
          </cell>
          <cell r="E1068">
            <v>11.702472282512669</v>
          </cell>
          <cell r="F1068">
            <v>9.5734999999999992</v>
          </cell>
          <cell r="G1068" t="str">
            <v>KAZAKHSTAN</v>
          </cell>
          <cell r="H1068">
            <v>5</v>
          </cell>
        </row>
        <row r="1069">
          <cell r="B1069" t="str">
            <v>42704MAD</v>
          </cell>
          <cell r="C1069" t="str">
            <v>42704MOROCCO</v>
          </cell>
          <cell r="D1069" t="str">
            <v>MAD</v>
          </cell>
          <cell r="E1069">
            <v>3.8494689282919916</v>
          </cell>
          <cell r="F1069">
            <v>1.3</v>
          </cell>
          <cell r="G1069" t="str">
            <v>MOROCCO</v>
          </cell>
          <cell r="H1069">
            <v>5</v>
          </cell>
        </row>
        <row r="1070">
          <cell r="B1070" t="str">
            <v>42704MXN</v>
          </cell>
          <cell r="C1070" t="str">
            <v>42704MEXICO</v>
          </cell>
          <cell r="D1070" t="str">
            <v>MXN</v>
          </cell>
          <cell r="E1070">
            <v>5.2830645078890717</v>
          </cell>
          <cell r="F1070">
            <v>3.6867228000000001</v>
          </cell>
          <cell r="G1070" t="str">
            <v>MEXICO</v>
          </cell>
          <cell r="H1070">
            <v>5</v>
          </cell>
        </row>
        <row r="1071">
          <cell r="B1071" t="str">
            <v>42704MYR</v>
          </cell>
          <cell r="C1071" t="str">
            <v>42704MALAYSIA</v>
          </cell>
          <cell r="D1071" t="str">
            <v>MYR</v>
          </cell>
          <cell r="E1071">
            <v>5.0482023837028525</v>
          </cell>
          <cell r="F1071">
            <v>2.5392766</v>
          </cell>
          <cell r="G1071" t="str">
            <v>MALAYSIA</v>
          </cell>
          <cell r="H1071">
            <v>5</v>
          </cell>
        </row>
        <row r="1072">
          <cell r="B1072" t="str">
            <v>42704NGN</v>
          </cell>
          <cell r="C1072" t="str">
            <v>42704NIGERIA</v>
          </cell>
          <cell r="D1072" t="str">
            <v>NGN</v>
          </cell>
          <cell r="E1072">
            <v>17.846980104209756</v>
          </cell>
          <cell r="F1072">
            <v>13.101159000000001</v>
          </cell>
          <cell r="G1072" t="str">
            <v>NIGERIA</v>
          </cell>
          <cell r="H1072">
            <v>7</v>
          </cell>
        </row>
        <row r="1073">
          <cell r="B1073" t="str">
            <v>42704NOK</v>
          </cell>
          <cell r="C1073" t="str">
            <v>42704NORWAY</v>
          </cell>
          <cell r="D1073" t="str">
            <v>NOK</v>
          </cell>
          <cell r="E1073">
            <v>4.8495333363926898</v>
          </cell>
          <cell r="F1073">
            <v>2.3139791000000001</v>
          </cell>
          <cell r="G1073" t="str">
            <v>NORWAY</v>
          </cell>
          <cell r="H1073">
            <v>4</v>
          </cell>
        </row>
        <row r="1074">
          <cell r="B1074" t="str">
            <v>42704NZD</v>
          </cell>
          <cell r="C1074" t="str">
            <v>42704NEW ZEALAND</v>
          </cell>
          <cell r="D1074" t="str">
            <v>NZD</v>
          </cell>
          <cell r="E1074">
            <v>3.8954970060277851</v>
          </cell>
          <cell r="F1074">
            <v>1.457624</v>
          </cell>
          <cell r="G1074" t="str">
            <v>NEW ZEALAND</v>
          </cell>
          <cell r="H1074">
            <v>5.528069907549944</v>
          </cell>
        </row>
        <row r="1075">
          <cell r="B1075" t="str">
            <v>42704OMR</v>
          </cell>
          <cell r="C1075" t="str">
            <v>42704OMAN</v>
          </cell>
          <cell r="D1075" t="str">
            <v>OMR</v>
          </cell>
          <cell r="E1075">
            <v>4.7996173308366732</v>
          </cell>
          <cell r="F1075">
            <v>2.197508</v>
          </cell>
          <cell r="G1075" t="str">
            <v>OMAN</v>
          </cell>
          <cell r="H1075">
            <v>5</v>
          </cell>
        </row>
        <row r="1076">
          <cell r="B1076" t="str">
            <v>42704PEN</v>
          </cell>
          <cell r="C1076" t="str">
            <v>42704PERU</v>
          </cell>
          <cell r="D1076" t="str">
            <v>PEN</v>
          </cell>
          <cell r="E1076">
            <v>4.9589292857872094</v>
          </cell>
          <cell r="F1076">
            <v>2.806988</v>
          </cell>
          <cell r="G1076" t="str">
            <v>PERU</v>
          </cell>
          <cell r="H1076">
            <v>5</v>
          </cell>
        </row>
        <row r="1077">
          <cell r="B1077" t="str">
            <v>42704PHP</v>
          </cell>
          <cell r="C1077" t="str">
            <v>42704PHILIPPINES</v>
          </cell>
          <cell r="D1077" t="str">
            <v>PHP</v>
          </cell>
          <cell r="E1077">
            <v>5.4213923617381123</v>
          </cell>
          <cell r="F1077">
            <v>2.7872612000000001</v>
          </cell>
          <cell r="G1077" t="str">
            <v>PHILIPPINES</v>
          </cell>
          <cell r="H1077">
            <v>5</v>
          </cell>
        </row>
        <row r="1078">
          <cell r="B1078" t="str">
            <v>42704PKR</v>
          </cell>
          <cell r="C1078" t="str">
            <v>42704PAKISTAN</v>
          </cell>
          <cell r="D1078" t="str">
            <v>PKR</v>
          </cell>
          <cell r="E1078">
            <v>6.8588829756929295</v>
          </cell>
          <cell r="F1078">
            <v>5.2978864000000003</v>
          </cell>
          <cell r="G1078" t="str">
            <v>PAKISTAN</v>
          </cell>
          <cell r="H1078">
            <v>5</v>
          </cell>
        </row>
        <row r="1079">
          <cell r="B1079" t="str">
            <v>42704PLN</v>
          </cell>
          <cell r="C1079" t="str">
            <v>42704POLAND</v>
          </cell>
          <cell r="D1079" t="str">
            <v>PLN</v>
          </cell>
          <cell r="E1079">
            <v>3.6694742112638048</v>
          </cell>
          <cell r="F1079">
            <v>1.2002062</v>
          </cell>
          <cell r="G1079" t="str">
            <v>POLAND</v>
          </cell>
          <cell r="H1079">
            <v>5</v>
          </cell>
        </row>
        <row r="1080">
          <cell r="B1080" t="str">
            <v>42704QAR</v>
          </cell>
          <cell r="C1080" t="str">
            <v>42704QATAR</v>
          </cell>
          <cell r="D1080" t="str">
            <v>QAR</v>
          </cell>
          <cell r="E1080">
            <v>4.9229424636614318</v>
          </cell>
          <cell r="F1080">
            <v>2.197508</v>
          </cell>
          <cell r="G1080" t="str">
            <v>QATAR</v>
          </cell>
          <cell r="H1080">
            <v>5</v>
          </cell>
        </row>
        <row r="1081">
          <cell r="B1081" t="str">
            <v>42704RON</v>
          </cell>
          <cell r="C1081" t="str">
            <v>42704ROMANIA</v>
          </cell>
          <cell r="D1081" t="str">
            <v>RON</v>
          </cell>
          <cell r="E1081">
            <v>3.9515129985019861</v>
          </cell>
          <cell r="F1081">
            <v>1.5838188</v>
          </cell>
          <cell r="G1081" t="str">
            <v>ROMANIA</v>
          </cell>
          <cell r="H1081">
            <v>5</v>
          </cell>
        </row>
        <row r="1082">
          <cell r="B1082" t="str">
            <v>42704RUB</v>
          </cell>
          <cell r="C1082" t="str">
            <v>42704RUSSIAN FEDERATION</v>
          </cell>
          <cell r="D1082" t="str">
            <v>RUB</v>
          </cell>
          <cell r="E1082">
            <v>7.1918878195997218</v>
          </cell>
          <cell r="F1082">
            <v>5.2147459999999999</v>
          </cell>
          <cell r="G1082" t="str">
            <v>RUSSIAN FEDERATION</v>
          </cell>
          <cell r="H1082">
            <v>5</v>
          </cell>
        </row>
        <row r="1083">
          <cell r="B1083" t="str">
            <v>42704SAR</v>
          </cell>
          <cell r="C1083" t="str">
            <v>42704SAUDI ARABIA</v>
          </cell>
          <cell r="D1083" t="str">
            <v>SAR</v>
          </cell>
          <cell r="E1083">
            <v>5.2006270130464474</v>
          </cell>
          <cell r="F1083">
            <v>2.197508</v>
          </cell>
          <cell r="G1083" t="str">
            <v>SAUDI ARABIA</v>
          </cell>
          <cell r="H1083">
            <v>5</v>
          </cell>
        </row>
        <row r="1084">
          <cell r="B1084" t="str">
            <v>42704SEK</v>
          </cell>
          <cell r="C1084" t="str">
            <v>42704SWEDEN</v>
          </cell>
          <cell r="D1084" t="str">
            <v>SEK</v>
          </cell>
          <cell r="E1084">
            <v>3.9425293207783687</v>
          </cell>
          <cell r="F1084">
            <v>1.4031893</v>
          </cell>
          <cell r="G1084" t="str">
            <v>SWEDEN</v>
          </cell>
          <cell r="H1084">
            <v>4</v>
          </cell>
        </row>
        <row r="1085">
          <cell r="B1085" t="str">
            <v>42704SGD</v>
          </cell>
          <cell r="C1085" t="str">
            <v>42704SINGAPORE</v>
          </cell>
          <cell r="D1085" t="str">
            <v>SGD</v>
          </cell>
          <cell r="E1085">
            <v>3.5375869420093</v>
          </cell>
          <cell r="F1085">
            <v>0.65559889999999998</v>
          </cell>
          <cell r="G1085" t="str">
            <v>SINGAPORE</v>
          </cell>
          <cell r="H1085">
            <v>5</v>
          </cell>
        </row>
        <row r="1086">
          <cell r="B1086" t="str">
            <v>42704TZS</v>
          </cell>
          <cell r="C1086" t="str">
            <v>42704TANZANIA, UNITED REPUBLIC OF</v>
          </cell>
          <cell r="D1086" t="str">
            <v>TZS</v>
          </cell>
          <cell r="E1086">
            <v>7.2943624978498303</v>
          </cell>
          <cell r="F1086">
            <v>5.0184999999999995</v>
          </cell>
          <cell r="G1086" t="str">
            <v>TANZANIA, UNITED REPUBLIC OF</v>
          </cell>
          <cell r="H1086">
            <v>5</v>
          </cell>
        </row>
        <row r="1087">
          <cell r="B1087" t="str">
            <v>42704THB</v>
          </cell>
          <cell r="C1087" t="str">
            <v>42704THAILAND</v>
          </cell>
          <cell r="D1087" t="str">
            <v>THB</v>
          </cell>
          <cell r="E1087">
            <v>3.8511922752788621</v>
          </cell>
          <cell r="F1087">
            <v>1.567968</v>
          </cell>
          <cell r="G1087" t="str">
            <v>THAILAND</v>
          </cell>
          <cell r="H1087">
            <v>5.6863946667304379</v>
          </cell>
        </row>
        <row r="1088">
          <cell r="B1088" t="str">
            <v>42704TRY</v>
          </cell>
          <cell r="C1088" t="str">
            <v>42704TURKEY</v>
          </cell>
          <cell r="D1088" t="str">
            <v>TRY</v>
          </cell>
          <cell r="E1088">
            <v>9.570318353270272</v>
          </cell>
          <cell r="F1088">
            <v>7.7326912999999999</v>
          </cell>
          <cell r="G1088" t="str">
            <v>TURKEY</v>
          </cell>
          <cell r="H1088">
            <v>6</v>
          </cell>
        </row>
        <row r="1089">
          <cell r="B1089" t="str">
            <v>42704TWD</v>
          </cell>
          <cell r="C1089" t="str">
            <v>42704TAIWAN</v>
          </cell>
          <cell r="D1089" t="str">
            <v>TWD</v>
          </cell>
          <cell r="E1089">
            <v>3.6096530623692926</v>
          </cell>
          <cell r="F1089">
            <v>1.1787965</v>
          </cell>
          <cell r="G1089" t="str">
            <v>TAIWAN</v>
          </cell>
          <cell r="H1089">
            <v>5</v>
          </cell>
        </row>
        <row r="1090">
          <cell r="B1090" t="str">
            <v>42704UAH</v>
          </cell>
          <cell r="C1090" t="str">
            <v>42704UKRAINE</v>
          </cell>
          <cell r="D1090" t="str">
            <v>UAH</v>
          </cell>
          <cell r="E1090">
            <v>11.431802047705045</v>
          </cell>
          <cell r="F1090">
            <v>10.059122</v>
          </cell>
          <cell r="G1090" t="str">
            <v>UKRAINE</v>
          </cell>
          <cell r="H1090">
            <v>5</v>
          </cell>
        </row>
        <row r="1091">
          <cell r="B1091" t="str">
            <v>42704USD</v>
          </cell>
          <cell r="C1091" t="str">
            <v>42704UNITED STATES</v>
          </cell>
          <cell r="D1091" t="str">
            <v>USD</v>
          </cell>
          <cell r="E1091">
            <v>4.4638459635544949</v>
          </cell>
          <cell r="F1091">
            <v>2.197508</v>
          </cell>
          <cell r="G1091" t="str">
            <v>UNITED STATES</v>
          </cell>
          <cell r="H1091">
            <v>4</v>
          </cell>
        </row>
        <row r="1092">
          <cell r="B1092" t="str">
            <v>42704VND</v>
          </cell>
          <cell r="C1092" t="str">
            <v>42704VIET NAM</v>
          </cell>
          <cell r="D1092" t="str">
            <v>VND</v>
          </cell>
          <cell r="E1092">
            <v>5.7670905408208331</v>
          </cell>
          <cell r="F1092">
            <v>3.9365149000000002</v>
          </cell>
          <cell r="G1092" t="str">
            <v>VIET NAM</v>
          </cell>
          <cell r="H1092">
            <v>7</v>
          </cell>
        </row>
        <row r="1093">
          <cell r="B1093" t="str">
            <v>42704XOF</v>
          </cell>
          <cell r="C1093" t="str">
            <v>42704MALI</v>
          </cell>
          <cell r="D1093" t="str">
            <v>XOF</v>
          </cell>
          <cell r="E1093">
            <v>3.9239245524888036</v>
          </cell>
          <cell r="G1093" t="str">
            <v>MALI</v>
          </cell>
          <cell r="H1093">
            <v>6</v>
          </cell>
        </row>
        <row r="1094">
          <cell r="B1094" t="str">
            <v>42704ZAR</v>
          </cell>
          <cell r="C1094" t="str">
            <v>42704SOUTH AFRICA</v>
          </cell>
          <cell r="D1094" t="str">
            <v>ZAR</v>
          </cell>
          <cell r="E1094">
            <v>8.0381491428311662</v>
          </cell>
          <cell r="F1094">
            <v>5.9164066000000002</v>
          </cell>
          <cell r="G1094" t="str">
            <v>SOUTH AFRICA</v>
          </cell>
          <cell r="H1094">
            <v>5</v>
          </cell>
        </row>
        <row r="1095">
          <cell r="B1095" t="str">
            <v>42704ZMW</v>
          </cell>
          <cell r="C1095" t="str">
            <v>42704ZAMBIA</v>
          </cell>
          <cell r="D1095" t="str">
            <v>ZMW</v>
          </cell>
          <cell r="E1095">
            <v>11.713800571851412</v>
          </cell>
          <cell r="G1095" t="str">
            <v>ZAMBIA</v>
          </cell>
          <cell r="H1095">
            <v>6</v>
          </cell>
        </row>
        <row r="1096">
          <cell r="B1096" t="str">
            <v>42704EUR1</v>
          </cell>
          <cell r="C1096" t="str">
            <v>42704BELGIUM</v>
          </cell>
          <cell r="D1096" t="str">
            <v>EUR1</v>
          </cell>
          <cell r="E1096">
            <v>3.3851593640542612</v>
          </cell>
          <cell r="G1096" t="str">
            <v>BELGIUM</v>
          </cell>
          <cell r="H1096">
            <v>4</v>
          </cell>
        </row>
        <row r="1097">
          <cell r="B1097" t="str">
            <v>42704EUR2</v>
          </cell>
          <cell r="C1097" t="str">
            <v>42704CYPRUS</v>
          </cell>
          <cell r="D1097" t="str">
            <v>EUR2</v>
          </cell>
          <cell r="E1097">
            <v>3.3851593640542612</v>
          </cell>
          <cell r="G1097" t="str">
            <v>CYPRUS</v>
          </cell>
          <cell r="H1097">
            <v>5</v>
          </cell>
        </row>
        <row r="1098">
          <cell r="B1098" t="str">
            <v>42704EUR3</v>
          </cell>
          <cell r="C1098" t="str">
            <v>42704ESTONIA</v>
          </cell>
          <cell r="D1098" t="str">
            <v>EUR3</v>
          </cell>
          <cell r="E1098">
            <v>3.3851593640542612</v>
          </cell>
          <cell r="G1098" t="str">
            <v>ESTONIA</v>
          </cell>
          <cell r="H1098">
            <v>5</v>
          </cell>
        </row>
        <row r="1099">
          <cell r="B1099" t="str">
            <v>42704EUR4</v>
          </cell>
          <cell r="C1099" t="str">
            <v>42704FINLAND</v>
          </cell>
          <cell r="D1099" t="str">
            <v>EUR4</v>
          </cell>
          <cell r="E1099">
            <v>3.3851593640542612</v>
          </cell>
          <cell r="G1099" t="str">
            <v>FINLAND</v>
          </cell>
          <cell r="H1099">
            <v>4</v>
          </cell>
        </row>
        <row r="1100">
          <cell r="B1100" t="str">
            <v>42704EUR5</v>
          </cell>
          <cell r="C1100" t="str">
            <v>42704FRANCE</v>
          </cell>
          <cell r="D1100" t="str">
            <v>EUR5</v>
          </cell>
          <cell r="E1100">
            <v>3.3851593640542612</v>
          </cell>
          <cell r="G1100" t="str">
            <v>FRANCE</v>
          </cell>
          <cell r="H1100">
            <v>4</v>
          </cell>
        </row>
        <row r="1101">
          <cell r="B1101" t="str">
            <v>42704EUR6</v>
          </cell>
          <cell r="C1101" t="str">
            <v>42704GERMANY</v>
          </cell>
          <cell r="D1101" t="str">
            <v>EUR6</v>
          </cell>
          <cell r="E1101">
            <v>3.3851593640542612</v>
          </cell>
          <cell r="G1101" t="str">
            <v>GERMANY</v>
          </cell>
          <cell r="H1101">
            <v>4.321382367794798</v>
          </cell>
        </row>
        <row r="1102">
          <cell r="B1102" t="str">
            <v>42704EUR7</v>
          </cell>
          <cell r="C1102" t="str">
            <v>42704GREECE</v>
          </cell>
          <cell r="D1102" t="str">
            <v>EUR7</v>
          </cell>
          <cell r="E1102">
            <v>3.3851593640542612</v>
          </cell>
          <cell r="G1102" t="str">
            <v>GREECE</v>
          </cell>
          <cell r="H1102">
            <v>10</v>
          </cell>
        </row>
        <row r="1103">
          <cell r="B1103" t="str">
            <v>42704EUR8</v>
          </cell>
          <cell r="C1103" t="str">
            <v>42704IRELAND</v>
          </cell>
          <cell r="D1103" t="str">
            <v>EUR8</v>
          </cell>
          <cell r="E1103">
            <v>3.3851593640542612</v>
          </cell>
          <cell r="G1103" t="str">
            <v>IRELAND</v>
          </cell>
          <cell r="H1103">
            <v>4</v>
          </cell>
        </row>
        <row r="1104">
          <cell r="B1104" t="str">
            <v>42704EUR9</v>
          </cell>
          <cell r="C1104" t="str">
            <v>42704ITALY</v>
          </cell>
          <cell r="D1104" t="str">
            <v>EUR9</v>
          </cell>
          <cell r="E1104">
            <v>3.3851593640542612</v>
          </cell>
          <cell r="G1104" t="str">
            <v>ITALY</v>
          </cell>
          <cell r="H1104">
            <v>4</v>
          </cell>
        </row>
        <row r="1105">
          <cell r="B1105" t="str">
            <v>42704EUR10</v>
          </cell>
          <cell r="C1105" t="str">
            <v>42704LATVIA</v>
          </cell>
          <cell r="D1105" t="str">
            <v>EUR10</v>
          </cell>
          <cell r="E1105">
            <v>3.3851593640542612</v>
          </cell>
          <cell r="G1105" t="str">
            <v>LATVIA</v>
          </cell>
          <cell r="H1105">
            <v>5</v>
          </cell>
        </row>
        <row r="1106">
          <cell r="B1106" t="str">
            <v>42704EUR11</v>
          </cell>
          <cell r="C1106" t="str">
            <v>42704LUXEMBOURG</v>
          </cell>
          <cell r="D1106" t="str">
            <v>EUR11</v>
          </cell>
          <cell r="E1106">
            <v>3.3851593640542612</v>
          </cell>
          <cell r="G1106" t="str">
            <v>LUXEMBOURG</v>
          </cell>
          <cell r="H1106">
            <v>4</v>
          </cell>
        </row>
        <row r="1107">
          <cell r="B1107" t="str">
            <v>42704EUR12</v>
          </cell>
          <cell r="C1107" t="str">
            <v>42704MALTA</v>
          </cell>
          <cell r="D1107" t="str">
            <v>EUR12</v>
          </cell>
          <cell r="E1107">
            <v>3.3851593640542612</v>
          </cell>
          <cell r="G1107" t="str">
            <v>MALTA</v>
          </cell>
          <cell r="H1107">
            <v>5</v>
          </cell>
        </row>
        <row r="1108">
          <cell r="B1108" t="str">
            <v>42704EUR13</v>
          </cell>
          <cell r="C1108" t="str">
            <v>42704MONTENEGRO</v>
          </cell>
          <cell r="D1108" t="str">
            <v>EUR13</v>
          </cell>
          <cell r="E1108">
            <v>3.3851593640542612</v>
          </cell>
          <cell r="G1108" t="str">
            <v>MONTENEGRO</v>
          </cell>
          <cell r="H1108">
            <v>5</v>
          </cell>
        </row>
        <row r="1109">
          <cell r="B1109" t="str">
            <v>42704EUR14</v>
          </cell>
          <cell r="C1109" t="str">
            <v>42704NETHERLANDS</v>
          </cell>
          <cell r="D1109" t="str">
            <v>EUR14</v>
          </cell>
          <cell r="E1109">
            <v>3.3851593640542612</v>
          </cell>
          <cell r="G1109" t="str">
            <v>NETHERLANDS</v>
          </cell>
          <cell r="H1109">
            <v>4</v>
          </cell>
        </row>
        <row r="1110">
          <cell r="B1110" t="str">
            <v>42704EUR15</v>
          </cell>
          <cell r="C1110" t="str">
            <v>42704PORTUGAL</v>
          </cell>
          <cell r="D1110" t="str">
            <v>EUR15</v>
          </cell>
          <cell r="E1110">
            <v>3.3851593640542612</v>
          </cell>
          <cell r="G1110" t="str">
            <v>PORTUGAL</v>
          </cell>
          <cell r="H1110">
            <v>4</v>
          </cell>
        </row>
        <row r="1111">
          <cell r="B1111" t="str">
            <v>42704EUR16</v>
          </cell>
          <cell r="C1111" t="str">
            <v>42704SLOVAKIA</v>
          </cell>
          <cell r="D1111" t="str">
            <v>EUR16</v>
          </cell>
          <cell r="E1111">
            <v>3.3851593640542612</v>
          </cell>
          <cell r="G1111" t="str">
            <v>SLOVAKIA</v>
          </cell>
          <cell r="H1111">
            <v>5</v>
          </cell>
        </row>
        <row r="1112">
          <cell r="B1112" t="str">
            <v>42704EUR17</v>
          </cell>
          <cell r="C1112" t="str">
            <v>42704SLOVENIA</v>
          </cell>
          <cell r="D1112" t="str">
            <v>EUR17</v>
          </cell>
          <cell r="E1112">
            <v>3.3851593640542612</v>
          </cell>
          <cell r="G1112" t="str">
            <v>SLOVENIA</v>
          </cell>
          <cell r="H1112">
            <v>5</v>
          </cell>
        </row>
        <row r="1113">
          <cell r="B1113" t="str">
            <v>42704EUR18</v>
          </cell>
          <cell r="C1113" t="str">
            <v>42704SPAIN</v>
          </cell>
          <cell r="D1113" t="str">
            <v>EUR18</v>
          </cell>
          <cell r="E1113">
            <v>3.3851593640542612</v>
          </cell>
          <cell r="G1113" t="str">
            <v>SPAIN</v>
          </cell>
          <cell r="H1113">
            <v>4</v>
          </cell>
        </row>
        <row r="1114">
          <cell r="B1114" t="str">
            <v>42704Eastern European Institutions</v>
          </cell>
          <cell r="C1114" t="str">
            <v>42704Eastern European Institutions</v>
          </cell>
          <cell r="D1114" t="str">
            <v>Eastern European Institutions</v>
          </cell>
          <cell r="E1114">
            <v>2.25</v>
          </cell>
          <cell r="G1114" t="str">
            <v>Eastern European Institutions</v>
          </cell>
          <cell r="H1114">
            <v>5</v>
          </cell>
        </row>
        <row r="1115">
          <cell r="B1115" t="str">
            <v>42735AED</v>
          </cell>
          <cell r="C1115" t="str">
            <v>42735U. A. E.</v>
          </cell>
          <cell r="D1115" t="str">
            <v>AED</v>
          </cell>
          <cell r="E1115">
            <v>5.5838658449017178</v>
          </cell>
          <cell r="F1115">
            <v>2.3533122999999998</v>
          </cell>
          <cell r="G1115" t="str">
            <v>U. A. E.</v>
          </cell>
          <cell r="H1115">
            <v>5</v>
          </cell>
        </row>
        <row r="1116">
          <cell r="B1116" t="str">
            <v>42735ARS</v>
          </cell>
          <cell r="C1116" t="str">
            <v>42735ARGENTINA</v>
          </cell>
          <cell r="D1116" t="str">
            <v>ARS</v>
          </cell>
          <cell r="E1116">
            <v>20.914891568350427</v>
          </cell>
          <cell r="F1116">
            <v>21.246758</v>
          </cell>
          <cell r="G1116" t="str">
            <v>ARGENTINA</v>
          </cell>
          <cell r="H1116">
            <v>6</v>
          </cell>
        </row>
        <row r="1117">
          <cell r="B1117" t="str">
            <v>42735AUD</v>
          </cell>
          <cell r="C1117" t="str">
            <v>42735AUSTRALIA</v>
          </cell>
          <cell r="D1117" t="str">
            <v>AUD</v>
          </cell>
          <cell r="E1117">
            <v>4.4235669135777291</v>
          </cell>
          <cell r="F1117">
            <v>2.1224281999999999</v>
          </cell>
          <cell r="G1117" t="str">
            <v>AUSTRALIA</v>
          </cell>
          <cell r="H1117">
            <v>4</v>
          </cell>
        </row>
        <row r="1118">
          <cell r="B1118" t="str">
            <v>42735BDT</v>
          </cell>
          <cell r="C1118" t="str">
            <v>42735BANGLADESH</v>
          </cell>
          <cell r="D1118" t="str">
            <v>BDT</v>
          </cell>
          <cell r="E1118">
            <v>8.7282761424205138</v>
          </cell>
          <cell r="F1118">
            <v>5.9278750000000002</v>
          </cell>
          <cell r="G1118" t="str">
            <v>BANGLADESH</v>
          </cell>
          <cell r="H1118">
            <v>6</v>
          </cell>
        </row>
        <row r="1119">
          <cell r="B1119" t="str">
            <v>42735BRL</v>
          </cell>
          <cell r="C1119" t="str">
            <v>42735BRAZIL</v>
          </cell>
          <cell r="D1119" t="str">
            <v>BRL</v>
          </cell>
          <cell r="E1119">
            <v>7.8917448905228262</v>
          </cell>
          <cell r="F1119">
            <v>5.0484857999999999</v>
          </cell>
          <cell r="G1119" t="str">
            <v>BRAZIL</v>
          </cell>
          <cell r="H1119">
            <v>6</v>
          </cell>
        </row>
        <row r="1120">
          <cell r="B1120" t="str">
            <v>42735BWP</v>
          </cell>
          <cell r="C1120" t="str">
            <v>42735BOTSWANA</v>
          </cell>
          <cell r="D1120" t="str">
            <v>BWP</v>
          </cell>
          <cell r="E1120">
            <v>6.0491996276506734</v>
          </cell>
          <cell r="F1120">
            <v>3.45</v>
          </cell>
          <cell r="G1120" t="str">
            <v>BOTSWANA</v>
          </cell>
          <cell r="H1120">
            <v>6</v>
          </cell>
        </row>
        <row r="1121">
          <cell r="B1121" t="str">
            <v>42735CAD</v>
          </cell>
          <cell r="C1121" t="str">
            <v>42735CANADA</v>
          </cell>
          <cell r="D1121" t="str">
            <v>CAD</v>
          </cell>
          <cell r="E1121">
            <v>4.2034582929771727</v>
          </cell>
          <cell r="F1121">
            <v>2.0074215</v>
          </cell>
          <cell r="G1121" t="str">
            <v>CANADA</v>
          </cell>
          <cell r="H1121">
            <v>4</v>
          </cell>
        </row>
        <row r="1122">
          <cell r="B1122" t="str">
            <v>42735CHF</v>
          </cell>
          <cell r="C1122" t="str">
            <v>42735SWITZERLAND</v>
          </cell>
          <cell r="D1122" t="str">
            <v>CHF</v>
          </cell>
          <cell r="E1122">
            <v>2.6430719669002603</v>
          </cell>
          <cell r="F1122">
            <v>0.33442129999999998</v>
          </cell>
          <cell r="G1122" t="str">
            <v>SWITZERLAND</v>
          </cell>
          <cell r="H1122">
            <v>4</v>
          </cell>
        </row>
        <row r="1123">
          <cell r="B1123" t="str">
            <v>42735CLP</v>
          </cell>
          <cell r="C1123" t="str">
            <v>42735CHILE</v>
          </cell>
          <cell r="D1123" t="str">
            <v>CLP</v>
          </cell>
          <cell r="E1123">
            <v>5.4474953500336412</v>
          </cell>
          <cell r="F1123">
            <v>2.9548040000000002</v>
          </cell>
          <cell r="G1123" t="str">
            <v>CHILE</v>
          </cell>
          <cell r="H1123">
            <v>5</v>
          </cell>
        </row>
        <row r="1124">
          <cell r="B1124" t="str">
            <v>42735CNY</v>
          </cell>
          <cell r="C1124" t="str">
            <v>42735CHINA</v>
          </cell>
          <cell r="D1124" t="str">
            <v>CNY</v>
          </cell>
          <cell r="E1124">
            <v>4.7245247585930885</v>
          </cell>
          <cell r="F1124">
            <v>2.0651891</v>
          </cell>
          <cell r="G1124" t="str">
            <v>CHINA</v>
          </cell>
          <cell r="H1124">
            <v>5</v>
          </cell>
        </row>
        <row r="1125">
          <cell r="B1125" t="str">
            <v>42735COP</v>
          </cell>
          <cell r="C1125" t="str">
            <v>42735COLOMBIA</v>
          </cell>
          <cell r="D1125" t="str">
            <v>COP</v>
          </cell>
          <cell r="E1125">
            <v>6.3999413746283853</v>
          </cell>
          <cell r="F1125">
            <v>4.3857106999999997</v>
          </cell>
          <cell r="G1125" t="str">
            <v>COLOMBIA</v>
          </cell>
          <cell r="H1125">
            <v>5</v>
          </cell>
        </row>
        <row r="1126">
          <cell r="B1126" t="str">
            <v>42735CZK</v>
          </cell>
          <cell r="C1126" t="str">
            <v>42735CZECH REPUBLIC</v>
          </cell>
          <cell r="D1126" t="str">
            <v>CZK</v>
          </cell>
          <cell r="E1126">
            <v>3.9383105073900229</v>
          </cell>
          <cell r="F1126">
            <v>1.8508898</v>
          </cell>
          <cell r="G1126" t="str">
            <v>CZECH REPUBLIC</v>
          </cell>
          <cell r="H1126">
            <v>5</v>
          </cell>
        </row>
        <row r="1127">
          <cell r="B1127" t="str">
            <v>42735DKK</v>
          </cell>
          <cell r="C1127" t="str">
            <v>42735DENMARK</v>
          </cell>
          <cell r="D1127" t="str">
            <v>DKK</v>
          </cell>
          <cell r="E1127">
            <v>3.5884260318330732</v>
          </cell>
          <cell r="F1127">
            <v>1.1500853</v>
          </cell>
          <cell r="G1127" t="str">
            <v>DENMARK</v>
          </cell>
          <cell r="H1127">
            <v>4</v>
          </cell>
        </row>
        <row r="1128">
          <cell r="B1128" t="str">
            <v>42735EGP</v>
          </cell>
          <cell r="C1128" t="str">
            <v>42735EGYPT</v>
          </cell>
          <cell r="D1128" t="str">
            <v>EGP</v>
          </cell>
          <cell r="E1128">
            <v>13.824909055235549</v>
          </cell>
          <cell r="F1128">
            <v>16.953997000000001</v>
          </cell>
          <cell r="G1128" t="str">
            <v>EGYPT</v>
          </cell>
          <cell r="H1128">
            <v>5</v>
          </cell>
        </row>
        <row r="1129">
          <cell r="B1129" t="str">
            <v>42735EUR</v>
          </cell>
          <cell r="C1129" t="str">
            <v>42735AUSTRIA</v>
          </cell>
          <cell r="D1129" t="str">
            <v>EUR</v>
          </cell>
          <cell r="E1129">
            <v>3.3851593640542612</v>
          </cell>
          <cell r="F1129">
            <v>1.3015939999999999</v>
          </cell>
          <cell r="G1129" t="str">
            <v>AUSTRIA</v>
          </cell>
          <cell r="H1129">
            <v>4</v>
          </cell>
        </row>
        <row r="1130">
          <cell r="B1130" t="str">
            <v>42735GBP</v>
          </cell>
          <cell r="C1130" t="str">
            <v>42735UNITED KINGDOM</v>
          </cell>
          <cell r="D1130" t="str">
            <v>GBP</v>
          </cell>
          <cell r="E1130">
            <v>4.2176414689261845</v>
          </cell>
          <cell r="F1130">
            <v>2.5362072000000002</v>
          </cell>
          <cell r="G1130" t="str">
            <v>UNITED KINGDOM</v>
          </cell>
          <cell r="H1130">
            <v>4</v>
          </cell>
        </row>
        <row r="1131">
          <cell r="B1131" t="str">
            <v>42735GEL</v>
          </cell>
          <cell r="C1131" t="str">
            <v>42735GEORGIA</v>
          </cell>
          <cell r="D1131" t="str">
            <v>GEL</v>
          </cell>
          <cell r="E1131">
            <v>5.3921435735881076</v>
          </cell>
          <cell r="F1131">
            <v>3.61</v>
          </cell>
          <cell r="G1131" t="str">
            <v>GEORGIA</v>
          </cell>
          <cell r="H1131">
            <v>6</v>
          </cell>
        </row>
        <row r="1132">
          <cell r="B1132" t="str">
            <v>42735HKD</v>
          </cell>
          <cell r="C1132" t="str">
            <v>42735HONG KONG</v>
          </cell>
          <cell r="D1132" t="str">
            <v>HKD</v>
          </cell>
          <cell r="E1132">
            <v>4.9499026289057593</v>
          </cell>
          <cell r="F1132">
            <v>2.3533122999999998</v>
          </cell>
          <cell r="G1132" t="str">
            <v>HONG KONG</v>
          </cell>
          <cell r="H1132">
            <v>4</v>
          </cell>
        </row>
        <row r="1133">
          <cell r="B1133" t="str">
            <v>42735GHS</v>
          </cell>
          <cell r="C1133" t="str">
            <v>42735GHANA</v>
          </cell>
          <cell r="D1133" t="str">
            <v>GHS</v>
          </cell>
          <cell r="E1133">
            <v>11.370392090121431</v>
          </cell>
          <cell r="F1133">
            <v>9.9689999999999994</v>
          </cell>
          <cell r="G1133" t="str">
            <v>GHANA</v>
          </cell>
          <cell r="H1133">
            <v>6</v>
          </cell>
        </row>
        <row r="1134">
          <cell r="B1134" t="str">
            <v>42735HRK</v>
          </cell>
          <cell r="C1134" t="str">
            <v>42735CROATIA</v>
          </cell>
          <cell r="D1134" t="str">
            <v>HRK</v>
          </cell>
          <cell r="E1134">
            <v>3.3209506494321452</v>
          </cell>
          <cell r="F1134">
            <v>0.77100000000000002</v>
          </cell>
          <cell r="G1134" t="str">
            <v>CROATIA</v>
          </cell>
          <cell r="H1134">
            <v>6</v>
          </cell>
        </row>
        <row r="1135">
          <cell r="B1135" t="str">
            <v>42735HUF</v>
          </cell>
          <cell r="C1135" t="str">
            <v>42735HUNGARY</v>
          </cell>
          <cell r="D1135" t="str">
            <v>HUF</v>
          </cell>
          <cell r="E1135">
            <v>4.4253046746673999</v>
          </cell>
          <cell r="F1135">
            <v>2.0334851999999999</v>
          </cell>
          <cell r="G1135" t="str">
            <v>HUNGARY</v>
          </cell>
          <cell r="H1135">
            <v>5</v>
          </cell>
        </row>
        <row r="1136">
          <cell r="B1136" t="str">
            <v>42735IDR</v>
          </cell>
          <cell r="C1136" t="str">
            <v>42735INDONESIA</v>
          </cell>
          <cell r="D1136" t="str">
            <v>IDR</v>
          </cell>
          <cell r="E1136">
            <v>6.3702882196320845</v>
          </cell>
          <cell r="F1136">
            <v>4.1343480000000001</v>
          </cell>
          <cell r="G1136" t="str">
            <v>INDONESIA</v>
          </cell>
          <cell r="H1136">
            <v>5</v>
          </cell>
        </row>
        <row r="1137">
          <cell r="B1137" t="str">
            <v>42735ILS</v>
          </cell>
          <cell r="C1137" t="str">
            <v>42735ISRAEL</v>
          </cell>
          <cell r="D1137" t="str">
            <v>ILS</v>
          </cell>
          <cell r="E1137">
            <v>3.4156539278355416</v>
          </cell>
          <cell r="F1137">
            <v>1.0533389</v>
          </cell>
          <cell r="G1137" t="str">
            <v>ISRAEL</v>
          </cell>
          <cell r="H1137">
            <v>4</v>
          </cell>
        </row>
        <row r="1138">
          <cell r="B1138" t="str">
            <v>42735INR</v>
          </cell>
          <cell r="C1138" t="str">
            <v>42735INDIA</v>
          </cell>
          <cell r="D1138" t="str">
            <v>INR</v>
          </cell>
          <cell r="E1138">
            <v>7.4774887317642182</v>
          </cell>
          <cell r="F1138">
            <v>4.9976950000000002</v>
          </cell>
          <cell r="G1138" t="str">
            <v>INDIA</v>
          </cell>
          <cell r="H1138">
            <v>5</v>
          </cell>
        </row>
        <row r="1139">
          <cell r="B1139" t="str">
            <v>42735IQD</v>
          </cell>
          <cell r="C1139" t="str">
            <v>42735IRAQ</v>
          </cell>
          <cell r="D1139" t="str">
            <v>IQD</v>
          </cell>
          <cell r="E1139">
            <v>4.2500000000000018</v>
          </cell>
          <cell r="F1139">
            <v>2</v>
          </cell>
          <cell r="G1139" t="str">
            <v>IRAQ</v>
          </cell>
          <cell r="H1139">
            <v>6</v>
          </cell>
        </row>
        <row r="1140">
          <cell r="B1140" t="str">
            <v>42735JPY</v>
          </cell>
          <cell r="C1140" t="str">
            <v>42735JAPAN</v>
          </cell>
          <cell r="D1140" t="str">
            <v>JPY</v>
          </cell>
          <cell r="E1140">
            <v>2.9897897786433516</v>
          </cell>
          <cell r="F1140">
            <v>0.48205945</v>
          </cell>
          <cell r="G1140" t="str">
            <v>JAPAN</v>
          </cell>
          <cell r="H1140">
            <v>4</v>
          </cell>
        </row>
        <row r="1141">
          <cell r="B1141" t="str">
            <v>42735KES</v>
          </cell>
          <cell r="C1141" t="str">
            <v>42735KENYA</v>
          </cell>
          <cell r="D1141" t="str">
            <v>KES</v>
          </cell>
          <cell r="E1141">
            <v>7.6084926403903221</v>
          </cell>
          <cell r="F1141">
            <v>5.5149999999999997</v>
          </cell>
          <cell r="G1141" t="str">
            <v>KENYA</v>
          </cell>
          <cell r="H1141">
            <v>7.5</v>
          </cell>
        </row>
        <row r="1142">
          <cell r="B1142" t="str">
            <v>42735KHR</v>
          </cell>
          <cell r="C1142" t="str">
            <v>42735CAMBODIA</v>
          </cell>
          <cell r="D1142" t="str">
            <v>KHR</v>
          </cell>
          <cell r="E1142">
            <v>5.2316942649170119</v>
          </cell>
          <cell r="F1142">
            <v>2.7330000000000001</v>
          </cell>
          <cell r="G1142" t="str">
            <v>CAMBODIA</v>
          </cell>
          <cell r="H1142">
            <v>6</v>
          </cell>
        </row>
        <row r="1143">
          <cell r="B1143" t="str">
            <v>42735KRW</v>
          </cell>
          <cell r="C1143" t="str">
            <v>42735KOREA SOUTH(REPUBLIC OF KOREA)</v>
          </cell>
          <cell r="D1143" t="str">
            <v>KRW</v>
          </cell>
          <cell r="E1143">
            <v>4.0236839542202842</v>
          </cell>
          <cell r="F1143">
            <v>1.6213126</v>
          </cell>
          <cell r="G1143" t="str">
            <v>KOREA SOUTH(REPUBLIC OF KOREA)</v>
          </cell>
          <cell r="H1143">
            <v>5</v>
          </cell>
        </row>
        <row r="1144">
          <cell r="B1144" t="str">
            <v>42735KWD</v>
          </cell>
          <cell r="C1144" t="str">
            <v>42735KUWAIT</v>
          </cell>
          <cell r="D1144" t="str">
            <v>KWD</v>
          </cell>
          <cell r="E1144">
            <v>5.8499227798076738</v>
          </cell>
          <cell r="F1144">
            <v>3.8</v>
          </cell>
          <cell r="G1144" t="str">
            <v>KUWAIT</v>
          </cell>
          <cell r="H1144">
            <v>6</v>
          </cell>
        </row>
        <row r="1145">
          <cell r="B1145" t="str">
            <v>42735LKR</v>
          </cell>
          <cell r="C1145" t="str">
            <v>42735SRI LANKA</v>
          </cell>
          <cell r="D1145" t="str">
            <v>LKR</v>
          </cell>
          <cell r="E1145">
            <v>7.1465574110770849</v>
          </cell>
          <cell r="F1145">
            <v>4.7205769999999996</v>
          </cell>
          <cell r="G1145" t="str">
            <v>SRI LANKA</v>
          </cell>
          <cell r="H1145">
            <v>6</v>
          </cell>
        </row>
        <row r="1146">
          <cell r="B1146" t="str">
            <v>42735KZT</v>
          </cell>
          <cell r="C1146" t="str">
            <v>42735KAZAKHSTAN</v>
          </cell>
          <cell r="D1146" t="str">
            <v>KZT</v>
          </cell>
          <cell r="E1146">
            <v>11.702472282512669</v>
          </cell>
          <cell r="F1146">
            <v>9.2539999999999996</v>
          </cell>
          <cell r="G1146" t="str">
            <v>KAZAKHSTAN</v>
          </cell>
          <cell r="H1146">
            <v>6</v>
          </cell>
        </row>
        <row r="1147">
          <cell r="B1147" t="str">
            <v>42735MAD</v>
          </cell>
          <cell r="C1147" t="str">
            <v>42735MOROCCO</v>
          </cell>
          <cell r="D1147" t="str">
            <v>MAD</v>
          </cell>
          <cell r="E1147">
            <v>3.8494689282919916</v>
          </cell>
          <cell r="F1147">
            <v>1.3</v>
          </cell>
          <cell r="G1147" t="str">
            <v>MOROCCO</v>
          </cell>
          <cell r="H1147">
            <v>6</v>
          </cell>
        </row>
        <row r="1148">
          <cell r="B1148" t="str">
            <v>42735MXN</v>
          </cell>
          <cell r="C1148" t="str">
            <v>42735MEXICO</v>
          </cell>
          <cell r="D1148" t="str">
            <v>MXN</v>
          </cell>
          <cell r="E1148">
            <v>5.2830645078890717</v>
          </cell>
          <cell r="F1148">
            <v>4.0699787000000001</v>
          </cell>
          <cell r="G1148" t="str">
            <v>MEXICO</v>
          </cell>
          <cell r="H1148">
            <v>5</v>
          </cell>
        </row>
        <row r="1149">
          <cell r="B1149" t="str">
            <v>42735MYR</v>
          </cell>
          <cell r="C1149" t="str">
            <v>42735MALAYSIA</v>
          </cell>
          <cell r="D1149" t="str">
            <v>MYR</v>
          </cell>
          <cell r="E1149">
            <v>5.0482023837028525</v>
          </cell>
          <cell r="F1149">
            <v>2.5820607999999998</v>
          </cell>
          <cell r="G1149" t="str">
            <v>MALAYSIA</v>
          </cell>
          <cell r="H1149">
            <v>5</v>
          </cell>
        </row>
        <row r="1150">
          <cell r="B1150" t="str">
            <v>42735NGN</v>
          </cell>
          <cell r="C1150" t="str">
            <v>42735NIGERIA</v>
          </cell>
          <cell r="D1150" t="str">
            <v>NGN</v>
          </cell>
          <cell r="E1150">
            <v>17.846980104209756</v>
          </cell>
          <cell r="F1150">
            <v>14.266370999999999</v>
          </cell>
          <cell r="G1150" t="str">
            <v>NIGERIA</v>
          </cell>
          <cell r="H1150">
            <v>8</v>
          </cell>
        </row>
        <row r="1151">
          <cell r="B1151" t="str">
            <v>42735NOK</v>
          </cell>
          <cell r="C1151" t="str">
            <v>42735NORWAY</v>
          </cell>
          <cell r="D1151" t="str">
            <v>NOK</v>
          </cell>
          <cell r="E1151">
            <v>4.8495333363926898</v>
          </cell>
          <cell r="F1151">
            <v>2.2542608</v>
          </cell>
          <cell r="G1151" t="str">
            <v>NORWAY</v>
          </cell>
          <cell r="H1151">
            <v>4</v>
          </cell>
        </row>
        <row r="1152">
          <cell r="B1152" t="str">
            <v>42735NZD</v>
          </cell>
          <cell r="C1152" t="str">
            <v>42735NEW ZEALAND</v>
          </cell>
          <cell r="D1152" t="str">
            <v>NZD</v>
          </cell>
          <cell r="E1152">
            <v>3.8954970060277851</v>
          </cell>
          <cell r="F1152">
            <v>1.5570033999999999</v>
          </cell>
          <cell r="G1152" t="str">
            <v>NEW ZEALAND</v>
          </cell>
          <cell r="H1152">
            <v>4.528069907549944</v>
          </cell>
        </row>
        <row r="1153">
          <cell r="B1153" t="str">
            <v>42735OMR</v>
          </cell>
          <cell r="C1153" t="str">
            <v>42735OMAN</v>
          </cell>
          <cell r="D1153" t="str">
            <v>OMR</v>
          </cell>
          <cell r="E1153">
            <v>4.7996173308366732</v>
          </cell>
          <cell r="F1153">
            <v>2.3533122999999998</v>
          </cell>
          <cell r="G1153" t="str">
            <v>OMAN</v>
          </cell>
          <cell r="H1153">
            <v>6</v>
          </cell>
        </row>
        <row r="1154">
          <cell r="B1154" t="str">
            <v>42735PEN</v>
          </cell>
          <cell r="C1154" t="str">
            <v>42735PERU</v>
          </cell>
          <cell r="D1154" t="str">
            <v>PEN</v>
          </cell>
          <cell r="E1154">
            <v>4.9589292857872094</v>
          </cell>
          <cell r="F1154">
            <v>2.8232667</v>
          </cell>
          <cell r="G1154" t="str">
            <v>PERU</v>
          </cell>
          <cell r="H1154">
            <v>5</v>
          </cell>
        </row>
        <row r="1155">
          <cell r="B1155" t="str">
            <v>42735PHP</v>
          </cell>
          <cell r="C1155" t="str">
            <v>42735PHILIPPINES</v>
          </cell>
          <cell r="D1155" t="str">
            <v>PHP</v>
          </cell>
          <cell r="E1155">
            <v>5.4213923617381123</v>
          </cell>
          <cell r="F1155">
            <v>2.9470326999999998</v>
          </cell>
          <cell r="G1155" t="str">
            <v>PHILIPPINES</v>
          </cell>
          <cell r="H1155">
            <v>5</v>
          </cell>
        </row>
        <row r="1156">
          <cell r="B1156" t="str">
            <v>42735PKR</v>
          </cell>
          <cell r="C1156" t="str">
            <v>42735PAKISTAN</v>
          </cell>
          <cell r="D1156" t="str">
            <v>PKR</v>
          </cell>
          <cell r="E1156">
            <v>6.8588829756929295</v>
          </cell>
          <cell r="F1156">
            <v>4.8310237000000003</v>
          </cell>
          <cell r="G1156" t="str">
            <v>PAKISTAN</v>
          </cell>
          <cell r="H1156">
            <v>6</v>
          </cell>
        </row>
        <row r="1157">
          <cell r="B1157" t="str">
            <v>42735PLN</v>
          </cell>
          <cell r="C1157" t="str">
            <v>42735POLAND</v>
          </cell>
          <cell r="D1157" t="str">
            <v>PLN</v>
          </cell>
          <cell r="E1157">
            <v>3.6694742112638048</v>
          </cell>
          <cell r="F1157">
            <v>1.3836634000000001</v>
          </cell>
          <cell r="G1157" t="str">
            <v>POLAND</v>
          </cell>
          <cell r="H1157">
            <v>5</v>
          </cell>
        </row>
        <row r="1158">
          <cell r="B1158" t="str">
            <v>42735QAR</v>
          </cell>
          <cell r="C1158" t="str">
            <v>42735QATAR</v>
          </cell>
          <cell r="D1158" t="str">
            <v>QAR</v>
          </cell>
          <cell r="E1158">
            <v>4.9229424636614318</v>
          </cell>
          <cell r="F1158">
            <v>2.3533122999999998</v>
          </cell>
          <cell r="G1158" t="str">
            <v>QATAR</v>
          </cell>
          <cell r="H1158">
            <v>5</v>
          </cell>
        </row>
        <row r="1159">
          <cell r="B1159" t="str">
            <v>42735RON</v>
          </cell>
          <cell r="C1159" t="str">
            <v>42735ROMANIA</v>
          </cell>
          <cell r="D1159" t="str">
            <v>RON</v>
          </cell>
          <cell r="E1159">
            <v>3.9515129985019861</v>
          </cell>
          <cell r="F1159">
            <v>1.9084044</v>
          </cell>
          <cell r="G1159" t="str">
            <v>ROMANIA</v>
          </cell>
          <cell r="H1159">
            <v>6</v>
          </cell>
        </row>
        <row r="1160">
          <cell r="B1160" t="str">
            <v>42735RUB</v>
          </cell>
          <cell r="C1160" t="str">
            <v>42735RUSSIAN FEDERATION</v>
          </cell>
          <cell r="D1160" t="str">
            <v>RUB</v>
          </cell>
          <cell r="E1160">
            <v>7.1918878195997218</v>
          </cell>
          <cell r="F1160">
            <v>4.9197984000000003</v>
          </cell>
          <cell r="G1160" t="str">
            <v>RUSSIAN FEDERATION</v>
          </cell>
          <cell r="H1160">
            <v>5</v>
          </cell>
        </row>
        <row r="1161">
          <cell r="B1161" t="str">
            <v>42735SAR</v>
          </cell>
          <cell r="C1161" t="str">
            <v>42735SAUDI ARABIA</v>
          </cell>
          <cell r="D1161" t="str">
            <v>SAR</v>
          </cell>
          <cell r="E1161">
            <v>5.2006270130464474</v>
          </cell>
          <cell r="F1161">
            <v>2.3533122999999998</v>
          </cell>
          <cell r="G1161" t="str">
            <v>SAUDI ARABIA</v>
          </cell>
          <cell r="H1161">
            <v>5</v>
          </cell>
        </row>
        <row r="1162">
          <cell r="B1162" t="str">
            <v>42735SEK</v>
          </cell>
          <cell r="C1162" t="str">
            <v>42735SWEDEN</v>
          </cell>
          <cell r="D1162" t="str">
            <v>SEK</v>
          </cell>
          <cell r="E1162">
            <v>3.9425293207783687</v>
          </cell>
          <cell r="F1162">
            <v>1.3947575000000001</v>
          </cell>
          <cell r="G1162" t="str">
            <v>SWEDEN</v>
          </cell>
          <cell r="H1162">
            <v>4</v>
          </cell>
        </row>
        <row r="1163">
          <cell r="B1163" t="str">
            <v>42735SGD</v>
          </cell>
          <cell r="C1163" t="str">
            <v>42735SINGAPORE</v>
          </cell>
          <cell r="D1163" t="str">
            <v>SGD</v>
          </cell>
          <cell r="E1163">
            <v>3.5375869420093</v>
          </cell>
          <cell r="F1163">
            <v>0.81449930000000004</v>
          </cell>
          <cell r="G1163" t="str">
            <v>SINGAPORE</v>
          </cell>
          <cell r="H1163">
            <v>4</v>
          </cell>
        </row>
        <row r="1164">
          <cell r="B1164" t="str">
            <v>42735TZS</v>
          </cell>
          <cell r="C1164" t="str">
            <v>42735TANZANIA, UNITED REPUBLIC OF</v>
          </cell>
          <cell r="D1164" t="str">
            <v>TZS</v>
          </cell>
          <cell r="E1164">
            <v>7.2943624978498303</v>
          </cell>
          <cell r="F1164">
            <v>5</v>
          </cell>
          <cell r="G1164" t="str">
            <v>TANZANIA, UNITED REPUBLIC OF</v>
          </cell>
          <cell r="H1164">
            <v>6</v>
          </cell>
        </row>
        <row r="1165">
          <cell r="B1165" t="str">
            <v>42735THB</v>
          </cell>
          <cell r="C1165" t="str">
            <v>42735THAILAND</v>
          </cell>
          <cell r="D1165" t="str">
            <v>THB</v>
          </cell>
          <cell r="E1165">
            <v>3.8511922752788621</v>
          </cell>
          <cell r="F1165">
            <v>1.5956025</v>
          </cell>
          <cell r="G1165" t="str">
            <v>THAILAND</v>
          </cell>
          <cell r="H1165">
            <v>5</v>
          </cell>
        </row>
        <row r="1166">
          <cell r="B1166" t="str">
            <v>42735TRY</v>
          </cell>
          <cell r="C1166" t="str">
            <v>42735TURKEY</v>
          </cell>
          <cell r="D1166" t="str">
            <v>TRY</v>
          </cell>
          <cell r="E1166">
            <v>9.570318353270272</v>
          </cell>
          <cell r="F1166">
            <v>8.1517130000000009</v>
          </cell>
          <cell r="G1166" t="str">
            <v>TURKEY</v>
          </cell>
          <cell r="H1166">
            <v>5</v>
          </cell>
        </row>
        <row r="1167">
          <cell r="B1167" t="str">
            <v>42735TWD</v>
          </cell>
          <cell r="C1167" t="str">
            <v>42735TAIWAN</v>
          </cell>
          <cell r="D1167" t="str">
            <v>TWD</v>
          </cell>
          <cell r="E1167">
            <v>3.6096530623692926</v>
          </cell>
          <cell r="F1167">
            <v>1.2977282000000001</v>
          </cell>
          <cell r="G1167" t="str">
            <v>TAIWAN</v>
          </cell>
          <cell r="H1167">
            <v>5</v>
          </cell>
        </row>
        <row r="1168">
          <cell r="B1168" t="str">
            <v>42735UAH</v>
          </cell>
          <cell r="C1168" t="str">
            <v>42735UKRAINE</v>
          </cell>
          <cell r="D1168" t="str">
            <v>UAH</v>
          </cell>
          <cell r="E1168">
            <v>11.431802047705045</v>
          </cell>
          <cell r="F1168">
            <v>9.5825030000000009</v>
          </cell>
          <cell r="G1168" t="str">
            <v>UKRAINE</v>
          </cell>
          <cell r="H1168">
            <v>6</v>
          </cell>
        </row>
        <row r="1169">
          <cell r="B1169" t="str">
            <v>42735USD</v>
          </cell>
          <cell r="C1169" t="str">
            <v>42735UNITED STATES</v>
          </cell>
          <cell r="D1169" t="str">
            <v>USD</v>
          </cell>
          <cell r="E1169">
            <v>4.4638459635544949</v>
          </cell>
          <cell r="F1169">
            <v>2.3533122999999998</v>
          </cell>
          <cell r="G1169" t="str">
            <v>UNITED STATES</v>
          </cell>
          <cell r="H1169">
            <v>4</v>
          </cell>
        </row>
        <row r="1170">
          <cell r="B1170" t="str">
            <v>42735VND</v>
          </cell>
          <cell r="C1170" t="str">
            <v>42735VIET NAM</v>
          </cell>
          <cell r="D1170" t="str">
            <v>VND</v>
          </cell>
          <cell r="E1170">
            <v>5.7670905408208331</v>
          </cell>
          <cell r="F1170">
            <v>4.0751567</v>
          </cell>
          <cell r="G1170" t="str">
            <v>VIET NAM</v>
          </cell>
          <cell r="H1170">
            <v>6</v>
          </cell>
        </row>
        <row r="1171">
          <cell r="B1171" t="str">
            <v>42735XOF</v>
          </cell>
          <cell r="C1171" t="str">
            <v>42735MALI</v>
          </cell>
          <cell r="D1171" t="str">
            <v>XOF</v>
          </cell>
          <cell r="E1171">
            <v>3.9239245524888036</v>
          </cell>
          <cell r="G1171" t="str">
            <v>MALI</v>
          </cell>
          <cell r="H1171">
            <v>6</v>
          </cell>
        </row>
        <row r="1172">
          <cell r="B1172" t="str">
            <v>42735ZAR</v>
          </cell>
          <cell r="C1172" t="str">
            <v>42735SOUTH AFRICA</v>
          </cell>
          <cell r="D1172" t="str">
            <v>ZAR</v>
          </cell>
          <cell r="E1172">
            <v>8.0381491428311662</v>
          </cell>
          <cell r="F1172">
            <v>5.5731599999999997</v>
          </cell>
          <cell r="G1172" t="str">
            <v>SOUTH AFRICA</v>
          </cell>
          <cell r="H1172">
            <v>5</v>
          </cell>
        </row>
        <row r="1173">
          <cell r="B1173" t="str">
            <v>42735ZMW</v>
          </cell>
          <cell r="C1173" t="str">
            <v>42735ZAMBIA</v>
          </cell>
          <cell r="D1173" t="str">
            <v>ZMW</v>
          </cell>
          <cell r="E1173">
            <v>11.713800571851412</v>
          </cell>
          <cell r="G1173" t="str">
            <v>ZAMBIA</v>
          </cell>
          <cell r="H1173">
            <v>6</v>
          </cell>
        </row>
        <row r="1174">
          <cell r="B1174" t="str">
            <v>42735EUR1</v>
          </cell>
          <cell r="C1174" t="str">
            <v>42735BELGIUM</v>
          </cell>
          <cell r="D1174" t="str">
            <v>EUR1</v>
          </cell>
          <cell r="E1174">
            <v>3.3851593640542612</v>
          </cell>
          <cell r="G1174" t="str">
            <v>BELGIUM</v>
          </cell>
          <cell r="H1174">
            <v>4</v>
          </cell>
        </row>
        <row r="1175">
          <cell r="B1175" t="str">
            <v>42735EUR2</v>
          </cell>
          <cell r="C1175" t="str">
            <v>42735CYPRUS</v>
          </cell>
          <cell r="D1175" t="str">
            <v>EUR2</v>
          </cell>
          <cell r="E1175">
            <v>3.3851593640542612</v>
          </cell>
          <cell r="G1175" t="str">
            <v>CYPRUS</v>
          </cell>
          <cell r="H1175">
            <v>5</v>
          </cell>
        </row>
        <row r="1176">
          <cell r="B1176" t="str">
            <v>42735EUR3</v>
          </cell>
          <cell r="C1176" t="str">
            <v>42735ESTONIA</v>
          </cell>
          <cell r="D1176" t="str">
            <v>EUR3</v>
          </cell>
          <cell r="E1176">
            <v>3.3851593640542612</v>
          </cell>
          <cell r="G1176" t="str">
            <v>ESTONIA</v>
          </cell>
          <cell r="H1176">
            <v>6</v>
          </cell>
        </row>
        <row r="1177">
          <cell r="B1177" t="str">
            <v>42735EUR4</v>
          </cell>
          <cell r="C1177" t="str">
            <v>42735FINLAND</v>
          </cell>
          <cell r="D1177" t="str">
            <v>EUR4</v>
          </cell>
          <cell r="E1177">
            <v>3.3851593640542612</v>
          </cell>
          <cell r="G1177" t="str">
            <v>FINLAND</v>
          </cell>
          <cell r="H1177">
            <v>4</v>
          </cell>
        </row>
        <row r="1178">
          <cell r="B1178" t="str">
            <v>42735EUR5</v>
          </cell>
          <cell r="C1178" t="str">
            <v>42735FRANCE</v>
          </cell>
          <cell r="D1178" t="str">
            <v>EUR5</v>
          </cell>
          <cell r="E1178">
            <v>3.3851593640542612</v>
          </cell>
          <cell r="G1178" t="str">
            <v>FRANCE</v>
          </cell>
          <cell r="H1178">
            <v>4</v>
          </cell>
        </row>
        <row r="1179">
          <cell r="B1179" t="str">
            <v>42735EUR6</v>
          </cell>
          <cell r="C1179" t="str">
            <v>42735GERMANY</v>
          </cell>
          <cell r="D1179" t="str">
            <v>EUR6</v>
          </cell>
          <cell r="E1179">
            <v>3.3851593640542612</v>
          </cell>
          <cell r="G1179" t="str">
            <v>GERMANY</v>
          </cell>
          <cell r="H1179">
            <v>4.321382367794798</v>
          </cell>
        </row>
        <row r="1180">
          <cell r="B1180" t="str">
            <v>42735EUR7</v>
          </cell>
          <cell r="C1180" t="str">
            <v>42735GREECE</v>
          </cell>
          <cell r="D1180" t="str">
            <v>EUR7</v>
          </cell>
          <cell r="E1180">
            <v>3.3851593640542612</v>
          </cell>
          <cell r="G1180" t="str">
            <v>GREECE</v>
          </cell>
          <cell r="H1180">
            <v>10</v>
          </cell>
        </row>
        <row r="1181">
          <cell r="B1181" t="str">
            <v>42735EUR8</v>
          </cell>
          <cell r="C1181" t="str">
            <v>42735IRELAND</v>
          </cell>
          <cell r="D1181" t="str">
            <v>EUR8</v>
          </cell>
          <cell r="E1181">
            <v>3.3851593640542612</v>
          </cell>
          <cell r="G1181" t="str">
            <v>IRELAND</v>
          </cell>
          <cell r="H1181">
            <v>4</v>
          </cell>
        </row>
        <row r="1182">
          <cell r="B1182" t="str">
            <v>42735EUR9</v>
          </cell>
          <cell r="C1182" t="str">
            <v>42735ITALY</v>
          </cell>
          <cell r="D1182" t="str">
            <v>EUR9</v>
          </cell>
          <cell r="E1182">
            <v>3.3851593640542612</v>
          </cell>
          <cell r="G1182" t="str">
            <v>ITALY</v>
          </cell>
          <cell r="H1182">
            <v>4</v>
          </cell>
        </row>
        <row r="1183">
          <cell r="B1183" t="str">
            <v>42735EUR10</v>
          </cell>
          <cell r="C1183" t="str">
            <v>42735LATVIA</v>
          </cell>
          <cell r="D1183" t="str">
            <v>EUR10</v>
          </cell>
          <cell r="E1183">
            <v>3.3851593640542612</v>
          </cell>
          <cell r="G1183" t="str">
            <v>LATVIA</v>
          </cell>
          <cell r="H1183">
            <v>6</v>
          </cell>
        </row>
        <row r="1184">
          <cell r="B1184" t="str">
            <v>42735EUR11</v>
          </cell>
          <cell r="C1184" t="str">
            <v>42735LUXEMBOURG</v>
          </cell>
          <cell r="D1184" t="str">
            <v>EUR11</v>
          </cell>
          <cell r="E1184">
            <v>3.3851593640542612</v>
          </cell>
          <cell r="G1184" t="str">
            <v>LUXEMBOURG</v>
          </cell>
          <cell r="H1184">
            <v>4</v>
          </cell>
        </row>
        <row r="1185">
          <cell r="B1185" t="str">
            <v>42735EUR12</v>
          </cell>
          <cell r="C1185" t="str">
            <v>42735MALTA</v>
          </cell>
          <cell r="D1185" t="str">
            <v>EUR12</v>
          </cell>
          <cell r="E1185">
            <v>3.3851593640542612</v>
          </cell>
          <cell r="G1185" t="str">
            <v>MALTA</v>
          </cell>
          <cell r="H1185">
            <v>4</v>
          </cell>
        </row>
        <row r="1186">
          <cell r="B1186" t="str">
            <v>42735EUR13</v>
          </cell>
          <cell r="C1186" t="str">
            <v>42735MONTENEGRO</v>
          </cell>
          <cell r="D1186" t="str">
            <v>EUR13</v>
          </cell>
          <cell r="E1186">
            <v>3.3851593640542612</v>
          </cell>
          <cell r="G1186" t="str">
            <v>MONTENEGRO</v>
          </cell>
          <cell r="H1186">
            <v>6</v>
          </cell>
        </row>
        <row r="1187">
          <cell r="B1187" t="str">
            <v>42735EUR14</v>
          </cell>
          <cell r="C1187" t="str">
            <v>42735NETHERLANDS</v>
          </cell>
          <cell r="D1187" t="str">
            <v>EUR14</v>
          </cell>
          <cell r="E1187">
            <v>3.3851593640542612</v>
          </cell>
          <cell r="G1187" t="str">
            <v>NETHERLANDS</v>
          </cell>
          <cell r="H1187">
            <v>4</v>
          </cell>
        </row>
        <row r="1188">
          <cell r="B1188" t="str">
            <v>42735EUR15</v>
          </cell>
          <cell r="C1188" t="str">
            <v>42735PORTUGAL</v>
          </cell>
          <cell r="D1188" t="str">
            <v>EUR15</v>
          </cell>
          <cell r="E1188">
            <v>3.3851593640542612</v>
          </cell>
          <cell r="G1188" t="str">
            <v>PORTUGAL</v>
          </cell>
          <cell r="H1188">
            <v>4</v>
          </cell>
        </row>
        <row r="1189">
          <cell r="B1189" t="str">
            <v>42735EUR16</v>
          </cell>
          <cell r="C1189" t="str">
            <v>42735SLOVAKIA</v>
          </cell>
          <cell r="D1189" t="str">
            <v>EUR16</v>
          </cell>
          <cell r="E1189">
            <v>3.3851593640542612</v>
          </cell>
          <cell r="G1189" t="str">
            <v>SLOVAKIA</v>
          </cell>
          <cell r="H1189">
            <v>5</v>
          </cell>
        </row>
        <row r="1190">
          <cell r="B1190" t="str">
            <v>42735EUR17</v>
          </cell>
          <cell r="C1190" t="str">
            <v>42735SLOVENIA</v>
          </cell>
          <cell r="D1190" t="str">
            <v>EUR17</v>
          </cell>
          <cell r="E1190">
            <v>3.3851593640542612</v>
          </cell>
          <cell r="G1190" t="str">
            <v>SLOVENIA</v>
          </cell>
          <cell r="H1190">
            <v>6</v>
          </cell>
        </row>
        <row r="1191">
          <cell r="B1191" t="str">
            <v>42735EUR18</v>
          </cell>
          <cell r="C1191" t="str">
            <v>42735SPAIN</v>
          </cell>
          <cell r="D1191" t="str">
            <v>EUR18</v>
          </cell>
          <cell r="E1191">
            <v>3.3851593640542612</v>
          </cell>
          <cell r="G1191" t="str">
            <v>SPAIN</v>
          </cell>
          <cell r="H1191">
            <v>4</v>
          </cell>
        </row>
        <row r="1192">
          <cell r="B1192" t="str">
            <v>42735Eastern European Institutions</v>
          </cell>
          <cell r="C1192" t="str">
            <v>42735Eastern European Institutions</v>
          </cell>
          <cell r="D1192" t="str">
            <v>Eastern European Institutions</v>
          </cell>
          <cell r="E1192">
            <v>2.25</v>
          </cell>
          <cell r="G1192" t="str">
            <v>Eastern European Institutions</v>
          </cell>
          <cell r="H1192">
            <v>5</v>
          </cell>
        </row>
        <row r="1193">
          <cell r="B1193" t="str">
            <v>42766AED</v>
          </cell>
          <cell r="C1193" t="str">
            <v>42766U. A. E.</v>
          </cell>
          <cell r="D1193" t="str">
            <v>AED</v>
          </cell>
          <cell r="E1193">
            <v>5.5838658449017178</v>
          </cell>
          <cell r="F1193">
            <v>2.4297252</v>
          </cell>
          <cell r="G1193" t="str">
            <v>U. A. E.</v>
          </cell>
          <cell r="H1193">
            <v>5</v>
          </cell>
        </row>
        <row r="1194">
          <cell r="B1194" t="str">
            <v>42766ARS</v>
          </cell>
          <cell r="C1194" t="str">
            <v>42766ARGENTINA</v>
          </cell>
          <cell r="D1194" t="str">
            <v>ARS</v>
          </cell>
          <cell r="E1194">
            <v>20.914891568350427</v>
          </cell>
          <cell r="F1194">
            <v>20.802216000000001</v>
          </cell>
          <cell r="G1194" t="str">
            <v>ARGENTINA</v>
          </cell>
          <cell r="H1194">
            <v>6</v>
          </cell>
        </row>
        <row r="1195">
          <cell r="B1195" t="str">
            <v>42766AUD</v>
          </cell>
          <cell r="C1195" t="str">
            <v>42766AUSTRALIA</v>
          </cell>
          <cell r="D1195" t="str">
            <v>AUD</v>
          </cell>
          <cell r="E1195">
            <v>4.4235669135777291</v>
          </cell>
          <cell r="F1195">
            <v>2.1322114000000001</v>
          </cell>
          <cell r="G1195" t="str">
            <v>AUSTRALIA</v>
          </cell>
          <cell r="H1195">
            <v>4</v>
          </cell>
        </row>
        <row r="1196">
          <cell r="B1196" t="str">
            <v>42766BDT</v>
          </cell>
          <cell r="C1196" t="str">
            <v>42766BANGLADESH</v>
          </cell>
          <cell r="D1196" t="str">
            <v>BDT</v>
          </cell>
          <cell r="E1196">
            <v>8.7282761424205138</v>
          </cell>
          <cell r="F1196">
            <v>5.928337</v>
          </cell>
          <cell r="G1196" t="str">
            <v>BANGLADESH</v>
          </cell>
          <cell r="H1196">
            <v>6</v>
          </cell>
        </row>
        <row r="1197">
          <cell r="B1197" t="str">
            <v>42766BRL</v>
          </cell>
          <cell r="C1197" t="str">
            <v>42766BRAZIL</v>
          </cell>
          <cell r="D1197" t="str">
            <v>BRL</v>
          </cell>
          <cell r="E1197">
            <v>7.8917448905228262</v>
          </cell>
          <cell r="F1197">
            <v>4.9308724000000002</v>
          </cell>
          <cell r="G1197" t="str">
            <v>BRAZIL</v>
          </cell>
          <cell r="H1197">
            <v>6</v>
          </cell>
        </row>
        <row r="1198">
          <cell r="B1198" t="str">
            <v>42766BWP</v>
          </cell>
          <cell r="C1198" t="str">
            <v>42766BOTSWANA</v>
          </cell>
          <cell r="D1198" t="str">
            <v>BWP</v>
          </cell>
          <cell r="E1198">
            <v>6.0491996276506734</v>
          </cell>
          <cell r="F1198">
            <v>3.4916666666666667</v>
          </cell>
          <cell r="G1198" t="str">
            <v>BOTSWANA</v>
          </cell>
          <cell r="H1198">
            <v>6</v>
          </cell>
        </row>
        <row r="1199">
          <cell r="B1199" t="str">
            <v>42766CAD</v>
          </cell>
          <cell r="C1199" t="str">
            <v>42766CANADA</v>
          </cell>
          <cell r="D1199" t="str">
            <v>CAD</v>
          </cell>
          <cell r="E1199">
            <v>4.2034582929771727</v>
          </cell>
          <cell r="F1199">
            <v>2.0405945999999999</v>
          </cell>
          <cell r="G1199" t="str">
            <v>CANADA</v>
          </cell>
          <cell r="H1199">
            <v>4</v>
          </cell>
        </row>
        <row r="1200">
          <cell r="B1200" t="str">
            <v>42766CHF</v>
          </cell>
          <cell r="C1200" t="str">
            <v>42766SWITZERLAND</v>
          </cell>
          <cell r="D1200" t="str">
            <v>CHF</v>
          </cell>
          <cell r="E1200">
            <v>2.6430719669002603</v>
          </cell>
          <cell r="F1200">
            <v>0.37410276999999997</v>
          </cell>
          <cell r="G1200" t="str">
            <v>SWITZERLAND</v>
          </cell>
          <cell r="H1200">
            <v>4</v>
          </cell>
        </row>
        <row r="1201">
          <cell r="B1201" t="str">
            <v>42766CLP</v>
          </cell>
          <cell r="C1201" t="str">
            <v>42766CHILE</v>
          </cell>
          <cell r="D1201" t="str">
            <v>CLP</v>
          </cell>
          <cell r="E1201">
            <v>5.4474953500336412</v>
          </cell>
          <cell r="F1201">
            <v>2.9631352</v>
          </cell>
          <cell r="G1201" t="str">
            <v>CHILE</v>
          </cell>
          <cell r="H1201">
            <v>5</v>
          </cell>
        </row>
        <row r="1202">
          <cell r="B1202" t="str">
            <v>42766CNY</v>
          </cell>
          <cell r="C1202" t="str">
            <v>42766CHINA</v>
          </cell>
          <cell r="D1202" t="str">
            <v>CNY</v>
          </cell>
          <cell r="E1202">
            <v>4.7245247585930885</v>
          </cell>
          <cell r="F1202">
            <v>2.2244315000000001</v>
          </cell>
          <cell r="G1202" t="str">
            <v>CHINA</v>
          </cell>
          <cell r="H1202">
            <v>5</v>
          </cell>
        </row>
        <row r="1203">
          <cell r="B1203" t="str">
            <v>42766COP</v>
          </cell>
          <cell r="C1203" t="str">
            <v>42766COLOMBIA</v>
          </cell>
          <cell r="D1203" t="str">
            <v>COP</v>
          </cell>
          <cell r="E1203">
            <v>6.3999413746283853</v>
          </cell>
          <cell r="F1203">
            <v>4.2957850000000004</v>
          </cell>
          <cell r="G1203" t="str">
            <v>COLOMBIA</v>
          </cell>
          <cell r="H1203">
            <v>5</v>
          </cell>
        </row>
        <row r="1204">
          <cell r="B1204" t="str">
            <v>42766CZK</v>
          </cell>
          <cell r="C1204" t="str">
            <v>42766CZECH REPUBLIC</v>
          </cell>
          <cell r="D1204" t="str">
            <v>CZK</v>
          </cell>
          <cell r="E1204">
            <v>3.9383105073900229</v>
          </cell>
          <cell r="F1204">
            <v>2.0029599999999999</v>
          </cell>
          <cell r="G1204" t="str">
            <v>CZECH REPUBLIC</v>
          </cell>
          <cell r="H1204">
            <v>5</v>
          </cell>
        </row>
        <row r="1205">
          <cell r="B1205" t="str">
            <v>42766DKK</v>
          </cell>
          <cell r="C1205" t="str">
            <v>42766DENMARK</v>
          </cell>
          <cell r="D1205" t="str">
            <v>DKK</v>
          </cell>
          <cell r="E1205">
            <v>3.5884260318330732</v>
          </cell>
          <cell r="F1205">
            <v>1.1276811</v>
          </cell>
          <cell r="G1205" t="str">
            <v>DENMARK</v>
          </cell>
          <cell r="H1205">
            <v>4</v>
          </cell>
        </row>
        <row r="1206">
          <cell r="B1206" t="str">
            <v>42766EGP</v>
          </cell>
          <cell r="C1206" t="str">
            <v>42766EGYPT</v>
          </cell>
          <cell r="D1206" t="str">
            <v>EGP</v>
          </cell>
          <cell r="E1206">
            <v>13.824909055235549</v>
          </cell>
          <cell r="F1206">
            <v>18.087893999999999</v>
          </cell>
          <cell r="G1206" t="str">
            <v>EGYPT</v>
          </cell>
          <cell r="H1206">
            <v>5</v>
          </cell>
        </row>
        <row r="1207">
          <cell r="B1207" t="str">
            <v>42766EUR</v>
          </cell>
          <cell r="C1207" t="str">
            <v>42766AUSTRIA</v>
          </cell>
          <cell r="D1207" t="str">
            <v>EUR</v>
          </cell>
          <cell r="E1207">
            <v>3.3851593640542612</v>
          </cell>
          <cell r="F1207">
            <v>1.4314835583333334</v>
          </cell>
          <cell r="G1207" t="str">
            <v>AUSTRIA</v>
          </cell>
          <cell r="H1207">
            <v>4</v>
          </cell>
        </row>
        <row r="1208">
          <cell r="B1208" t="str">
            <v>42766GBP</v>
          </cell>
          <cell r="C1208" t="str">
            <v>42766UNITED KINGDOM</v>
          </cell>
          <cell r="D1208" t="str">
            <v>GBP</v>
          </cell>
          <cell r="E1208">
            <v>4.2176414689261845</v>
          </cell>
          <cell r="F1208">
            <v>2.5080046999999999</v>
          </cell>
          <cell r="G1208" t="str">
            <v>UNITED KINGDOM</v>
          </cell>
          <cell r="H1208">
            <v>4</v>
          </cell>
        </row>
        <row r="1209">
          <cell r="B1209" t="str">
            <v>42766GEL</v>
          </cell>
          <cell r="C1209" t="str">
            <v>42766GEORGIA</v>
          </cell>
          <cell r="D1209" t="str">
            <v>GEL</v>
          </cell>
          <cell r="E1209">
            <v>5.3921435735881076</v>
          </cell>
          <cell r="F1209">
            <v>3.6008333333333331</v>
          </cell>
          <cell r="G1209" t="str">
            <v>GEORGIA</v>
          </cell>
          <cell r="H1209">
            <v>6</v>
          </cell>
        </row>
        <row r="1210">
          <cell r="B1210" t="str">
            <v>42766HKD</v>
          </cell>
          <cell r="C1210" t="str">
            <v>42766HONG KONG</v>
          </cell>
          <cell r="D1210" t="str">
            <v>HKD</v>
          </cell>
          <cell r="E1210">
            <v>4.9499026289057593</v>
          </cell>
          <cell r="F1210">
            <v>2.4297252</v>
          </cell>
          <cell r="G1210" t="str">
            <v>HONG KONG</v>
          </cell>
          <cell r="H1210">
            <v>4</v>
          </cell>
        </row>
        <row r="1211">
          <cell r="B1211" t="str">
            <v>42766GHS</v>
          </cell>
          <cell r="C1211" t="str">
            <v>42766GHANA</v>
          </cell>
          <cell r="D1211" t="str">
            <v>GHS</v>
          </cell>
          <cell r="E1211">
            <v>11.370392090121431</v>
          </cell>
          <cell r="F1211">
            <v>9.7215833333333332</v>
          </cell>
          <cell r="G1211" t="str">
            <v>GHANA</v>
          </cell>
          <cell r="H1211">
            <v>6</v>
          </cell>
        </row>
        <row r="1212">
          <cell r="B1212" t="str">
            <v>42766HRK</v>
          </cell>
          <cell r="C1212" t="str">
            <v>42766CROATIA</v>
          </cell>
          <cell r="D1212" t="str">
            <v>HRK</v>
          </cell>
          <cell r="E1212">
            <v>3.3209506494321452</v>
          </cell>
          <cell r="F1212">
            <v>0.84850000000000003</v>
          </cell>
          <cell r="G1212" t="str">
            <v>CROATIA</v>
          </cell>
          <cell r="H1212">
            <v>6</v>
          </cell>
        </row>
        <row r="1213">
          <cell r="B1213" t="str">
            <v>42766HUF</v>
          </cell>
          <cell r="C1213" t="str">
            <v>42766HUNGARY</v>
          </cell>
          <cell r="D1213" t="str">
            <v>HUF</v>
          </cell>
          <cell r="E1213">
            <v>4.4253046746673999</v>
          </cell>
          <cell r="F1213">
            <v>2.2472148000000001</v>
          </cell>
          <cell r="G1213" t="str">
            <v>HUNGARY</v>
          </cell>
          <cell r="H1213">
            <v>5</v>
          </cell>
        </row>
        <row r="1214">
          <cell r="B1214" t="str">
            <v>42766IDR</v>
          </cell>
          <cell r="C1214" t="str">
            <v>42766INDONESIA</v>
          </cell>
          <cell r="D1214" t="str">
            <v>IDR</v>
          </cell>
          <cell r="E1214">
            <v>6.3702882196320845</v>
          </cell>
          <cell r="F1214">
            <v>4.1778079999999997</v>
          </cell>
          <cell r="G1214" t="str">
            <v>INDONESIA</v>
          </cell>
          <cell r="H1214">
            <v>5</v>
          </cell>
        </row>
        <row r="1215">
          <cell r="B1215" t="str">
            <v>42766ILS</v>
          </cell>
          <cell r="C1215" t="str">
            <v>42766ISRAEL</v>
          </cell>
          <cell r="D1215" t="str">
            <v>ILS</v>
          </cell>
          <cell r="E1215">
            <v>3.4156539278355416</v>
          </cell>
          <cell r="F1215">
            <v>0.90148209999999995</v>
          </cell>
          <cell r="G1215" t="str">
            <v>ISRAEL</v>
          </cell>
          <cell r="H1215">
            <v>4</v>
          </cell>
        </row>
        <row r="1216">
          <cell r="B1216" t="str">
            <v>42766INR</v>
          </cell>
          <cell r="C1216" t="str">
            <v>42766INDIA</v>
          </cell>
          <cell r="D1216" t="str">
            <v>INR</v>
          </cell>
          <cell r="E1216">
            <v>7.4774887317642182</v>
          </cell>
          <cell r="F1216">
            <v>4.9562299999999997</v>
          </cell>
          <cell r="G1216" t="str">
            <v>INDIA</v>
          </cell>
          <cell r="H1216">
            <v>5</v>
          </cell>
        </row>
        <row r="1217">
          <cell r="B1217" t="str">
            <v>42766IQD</v>
          </cell>
          <cell r="C1217" t="str">
            <v>42766IRAQ</v>
          </cell>
          <cell r="D1217" t="str">
            <v>IQD</v>
          </cell>
          <cell r="E1217">
            <v>4.2500000000000018</v>
          </cell>
          <cell r="F1217">
            <v>2</v>
          </cell>
          <cell r="G1217" t="str">
            <v>IRAQ</v>
          </cell>
          <cell r="H1217">
            <v>6</v>
          </cell>
        </row>
        <row r="1218">
          <cell r="B1218" t="str">
            <v>42766JPY</v>
          </cell>
          <cell r="C1218" t="str">
            <v>42766JAPAN</v>
          </cell>
          <cell r="D1218" t="str">
            <v>JPY</v>
          </cell>
          <cell r="E1218">
            <v>2.9897897786433516</v>
          </cell>
          <cell r="F1218">
            <v>0.60933714999999999</v>
          </cell>
          <cell r="G1218" t="str">
            <v>JAPAN</v>
          </cell>
          <cell r="H1218">
            <v>4</v>
          </cell>
        </row>
        <row r="1219">
          <cell r="B1219" t="str">
            <v>42766KES</v>
          </cell>
          <cell r="C1219" t="str">
            <v>42766KENYA</v>
          </cell>
          <cell r="D1219" t="str">
            <v>KES</v>
          </cell>
          <cell r="E1219">
            <v>7.6084926403903221</v>
          </cell>
          <cell r="F1219">
            <v>5.4819999999999993</v>
          </cell>
          <cell r="G1219" t="str">
            <v>KENYA</v>
          </cell>
          <cell r="H1219">
            <v>7.5</v>
          </cell>
        </row>
        <row r="1220">
          <cell r="B1220" t="str">
            <v>42766KHR</v>
          </cell>
          <cell r="C1220" t="str">
            <v>42766CAMBODIA</v>
          </cell>
          <cell r="D1220" t="str">
            <v>KHR</v>
          </cell>
          <cell r="E1220">
            <v>5.2316942649170119</v>
          </cell>
          <cell r="F1220">
            <v>2.7573333333333334</v>
          </cell>
          <cell r="G1220" t="str">
            <v>CAMBODIA</v>
          </cell>
          <cell r="H1220">
            <v>6</v>
          </cell>
        </row>
        <row r="1221">
          <cell r="B1221" t="str">
            <v>42766KRW</v>
          </cell>
          <cell r="C1221" t="str">
            <v>42766KOREA SOUTH(REPUBLIC OF KOREA)</v>
          </cell>
          <cell r="D1221" t="str">
            <v>KRW</v>
          </cell>
          <cell r="E1221">
            <v>4.0236839542202842</v>
          </cell>
          <cell r="F1221">
            <v>1.6441013</v>
          </cell>
          <cell r="G1221" t="str">
            <v>KOREA SOUTH(REPUBLIC OF KOREA)</v>
          </cell>
          <cell r="H1221">
            <v>5</v>
          </cell>
        </row>
        <row r="1222">
          <cell r="B1222" t="str">
            <v>42766KWD</v>
          </cell>
          <cell r="C1222" t="str">
            <v>42766KUWAIT</v>
          </cell>
          <cell r="D1222" t="str">
            <v>KWD</v>
          </cell>
          <cell r="E1222">
            <v>5.8499227798076738</v>
          </cell>
          <cell r="F1222">
            <v>3.7833333333333328</v>
          </cell>
          <cell r="G1222" t="str">
            <v>KUWAIT</v>
          </cell>
          <cell r="H1222">
            <v>6</v>
          </cell>
        </row>
        <row r="1223">
          <cell r="B1223" t="str">
            <v>42766LKR</v>
          </cell>
          <cell r="C1223" t="str">
            <v>42766SRI LANKA</v>
          </cell>
          <cell r="D1223" t="str">
            <v>LKR</v>
          </cell>
          <cell r="E1223">
            <v>7.1465574110770849</v>
          </cell>
          <cell r="F1223">
            <v>4.7357940000000003</v>
          </cell>
          <cell r="G1223" t="str">
            <v>SRI LANKA</v>
          </cell>
          <cell r="H1223">
            <v>6</v>
          </cell>
        </row>
        <row r="1224">
          <cell r="B1224" t="str">
            <v>42766KZT</v>
          </cell>
          <cell r="C1224" t="str">
            <v>42766KAZAKHSTAN</v>
          </cell>
          <cell r="D1224" t="str">
            <v>KZT</v>
          </cell>
          <cell r="E1224">
            <v>11.702472282512669</v>
          </cell>
          <cell r="F1224">
            <v>9.2328333333333319</v>
          </cell>
          <cell r="G1224" t="str">
            <v>KAZAKHSTAN</v>
          </cell>
          <cell r="H1224">
            <v>6</v>
          </cell>
        </row>
        <row r="1225">
          <cell r="B1225" t="str">
            <v>42766MAD</v>
          </cell>
          <cell r="C1225" t="str">
            <v>42766MOROCCO</v>
          </cell>
          <cell r="D1225" t="str">
            <v>MAD</v>
          </cell>
          <cell r="E1225">
            <v>3.8494689282919916</v>
          </cell>
          <cell r="F1225">
            <v>1.3083333333333333</v>
          </cell>
          <cell r="G1225" t="str">
            <v>MOROCCO</v>
          </cell>
          <cell r="H1225">
            <v>6</v>
          </cell>
        </row>
        <row r="1226">
          <cell r="B1226" t="str">
            <v>42766MXN</v>
          </cell>
          <cell r="C1226" t="str">
            <v>42766MEXICO</v>
          </cell>
          <cell r="D1226" t="str">
            <v>MXN</v>
          </cell>
          <cell r="E1226">
            <v>5.2830645078890717</v>
          </cell>
          <cell r="F1226">
            <v>4.8477439999999996</v>
          </cell>
          <cell r="G1226" t="str">
            <v>MEXICO</v>
          </cell>
          <cell r="H1226">
            <v>7</v>
          </cell>
        </row>
        <row r="1227">
          <cell r="B1227" t="str">
            <v>42766MYR</v>
          </cell>
          <cell r="C1227" t="str">
            <v>42766MALAYSIA</v>
          </cell>
          <cell r="D1227" t="str">
            <v>MYR</v>
          </cell>
          <cell r="E1227">
            <v>5.0482023837028525</v>
          </cell>
          <cell r="F1227">
            <v>2.591456</v>
          </cell>
          <cell r="G1227" t="str">
            <v>MALAYSIA</v>
          </cell>
          <cell r="H1227">
            <v>5</v>
          </cell>
        </row>
        <row r="1228">
          <cell r="B1228" t="str">
            <v>42766NGN</v>
          </cell>
          <cell r="C1228" t="str">
            <v>42766NIGERIA</v>
          </cell>
          <cell r="D1228" t="str">
            <v>NGN</v>
          </cell>
          <cell r="E1228">
            <v>17.846980104209756</v>
          </cell>
          <cell r="F1228">
            <v>13.703904</v>
          </cell>
          <cell r="G1228" t="str">
            <v>NIGERIA</v>
          </cell>
          <cell r="H1228">
            <v>8</v>
          </cell>
        </row>
        <row r="1229">
          <cell r="B1229" t="str">
            <v>42766NOK</v>
          </cell>
          <cell r="C1229" t="str">
            <v>42766NORWAY</v>
          </cell>
          <cell r="D1229" t="str">
            <v>NOK</v>
          </cell>
          <cell r="E1229">
            <v>4.8495333363926898</v>
          </cell>
          <cell r="F1229">
            <v>2.3457012000000002</v>
          </cell>
          <cell r="G1229" t="str">
            <v>NORWAY</v>
          </cell>
          <cell r="H1229">
            <v>4</v>
          </cell>
        </row>
        <row r="1230">
          <cell r="B1230" t="str">
            <v>42766NZD</v>
          </cell>
          <cell r="C1230" t="str">
            <v>42766NEW ZEALAND</v>
          </cell>
          <cell r="D1230" t="str">
            <v>NZD</v>
          </cell>
          <cell r="E1230">
            <v>3.8954970060277851</v>
          </cell>
          <cell r="F1230">
            <v>1.627553</v>
          </cell>
          <cell r="G1230" t="str">
            <v>NEW ZEALAND</v>
          </cell>
          <cell r="H1230">
            <v>4.528069907549944</v>
          </cell>
        </row>
        <row r="1231">
          <cell r="B1231" t="str">
            <v>42766OMR</v>
          </cell>
          <cell r="C1231" t="str">
            <v>42766OMAN</v>
          </cell>
          <cell r="D1231" t="str">
            <v>OMR</v>
          </cell>
          <cell r="E1231">
            <v>4.7996173308366732</v>
          </cell>
          <cell r="F1231">
            <v>2.4297252</v>
          </cell>
          <cell r="G1231" t="str">
            <v>OMAN</v>
          </cell>
          <cell r="H1231">
            <v>6</v>
          </cell>
        </row>
        <row r="1232">
          <cell r="B1232" t="str">
            <v>42766PEN</v>
          </cell>
          <cell r="C1232" t="str">
            <v>42766PERU</v>
          </cell>
          <cell r="D1232" t="str">
            <v>PEN</v>
          </cell>
          <cell r="E1232">
            <v>4.9589292857872094</v>
          </cell>
          <cell r="F1232">
            <v>2.896728</v>
          </cell>
          <cell r="G1232" t="str">
            <v>PERU</v>
          </cell>
          <cell r="H1232">
            <v>5</v>
          </cell>
        </row>
        <row r="1233">
          <cell r="B1233" t="str">
            <v>42766PHP</v>
          </cell>
          <cell r="C1233" t="str">
            <v>42766PHILIPPINES</v>
          </cell>
          <cell r="D1233" t="str">
            <v>PHP</v>
          </cell>
          <cell r="E1233">
            <v>5.4213923617381123</v>
          </cell>
          <cell r="F1233">
            <v>3.0738215000000002</v>
          </cell>
          <cell r="G1233" t="str">
            <v>PHILIPPINES</v>
          </cell>
          <cell r="H1233">
            <v>5</v>
          </cell>
        </row>
        <row r="1234">
          <cell r="B1234" t="str">
            <v>42766PKR</v>
          </cell>
          <cell r="C1234" t="str">
            <v>42766PAKISTAN</v>
          </cell>
          <cell r="D1234" t="str">
            <v>PKR</v>
          </cell>
          <cell r="E1234">
            <v>6.8588829756929295</v>
          </cell>
          <cell r="F1234">
            <v>4.8354783000000001</v>
          </cell>
          <cell r="G1234" t="str">
            <v>PAKISTAN</v>
          </cell>
          <cell r="H1234">
            <v>6</v>
          </cell>
        </row>
        <row r="1235">
          <cell r="B1235" t="str">
            <v>42766PLN</v>
          </cell>
          <cell r="C1235" t="str">
            <v>42766POLAND</v>
          </cell>
          <cell r="D1235" t="str">
            <v>PLN</v>
          </cell>
          <cell r="E1235">
            <v>3.6694742112638048</v>
          </cell>
          <cell r="F1235">
            <v>1.5799726999999999</v>
          </cell>
          <cell r="G1235" t="str">
            <v>POLAND</v>
          </cell>
          <cell r="H1235">
            <v>5</v>
          </cell>
        </row>
        <row r="1236">
          <cell r="B1236" t="str">
            <v>42766QAR</v>
          </cell>
          <cell r="C1236" t="str">
            <v>42766QATAR</v>
          </cell>
          <cell r="D1236" t="str">
            <v>QAR</v>
          </cell>
          <cell r="E1236">
            <v>4.9229424636614318</v>
          </cell>
          <cell r="F1236">
            <v>2.4297252</v>
          </cell>
          <cell r="G1236" t="str">
            <v>QATAR</v>
          </cell>
          <cell r="H1236">
            <v>5</v>
          </cell>
        </row>
        <row r="1237">
          <cell r="B1237" t="str">
            <v>42766RON</v>
          </cell>
          <cell r="C1237" t="str">
            <v>42766ROMANIA</v>
          </cell>
          <cell r="D1237" t="str">
            <v>RON</v>
          </cell>
          <cell r="E1237">
            <v>3.9515129985019861</v>
          </cell>
          <cell r="F1237">
            <v>1.8820741999999999</v>
          </cell>
          <cell r="G1237" t="str">
            <v>ROMANIA</v>
          </cell>
          <cell r="H1237">
            <v>6</v>
          </cell>
        </row>
        <row r="1238">
          <cell r="B1238" t="str">
            <v>42766RUB</v>
          </cell>
          <cell r="C1238" t="str">
            <v>42766RUSSIAN FEDERATION</v>
          </cell>
          <cell r="D1238" t="str">
            <v>RUB</v>
          </cell>
          <cell r="E1238">
            <v>7.1918878195997218</v>
          </cell>
          <cell r="F1238">
            <v>4.7629359999999998</v>
          </cell>
          <cell r="G1238" t="str">
            <v>RUSSIAN FEDERATION</v>
          </cell>
          <cell r="H1238">
            <v>5</v>
          </cell>
        </row>
        <row r="1239">
          <cell r="B1239" t="str">
            <v>42766SAR</v>
          </cell>
          <cell r="C1239" t="str">
            <v>42766SAUDI ARABIA</v>
          </cell>
          <cell r="D1239" t="str">
            <v>SAR</v>
          </cell>
          <cell r="E1239">
            <v>5.2006270130464474</v>
          </cell>
          <cell r="F1239">
            <v>2.4297252</v>
          </cell>
          <cell r="G1239" t="str">
            <v>SAUDI ARABIA</v>
          </cell>
          <cell r="H1239">
            <v>5</v>
          </cell>
        </row>
        <row r="1240">
          <cell r="B1240" t="str">
            <v>42766SEK</v>
          </cell>
          <cell r="C1240" t="str">
            <v>42766SWEDEN</v>
          </cell>
          <cell r="D1240" t="str">
            <v>SEK</v>
          </cell>
          <cell r="E1240">
            <v>3.9425293207783687</v>
          </cell>
          <cell r="F1240">
            <v>1.5414524999999999</v>
          </cell>
          <cell r="G1240" t="str">
            <v>SWEDEN</v>
          </cell>
          <cell r="H1240">
            <v>4</v>
          </cell>
        </row>
        <row r="1241">
          <cell r="B1241" t="str">
            <v>42766SGD</v>
          </cell>
          <cell r="C1241" t="str">
            <v>42766SINGAPORE</v>
          </cell>
          <cell r="D1241" t="str">
            <v>SGD</v>
          </cell>
          <cell r="E1241">
            <v>3.5375869420093</v>
          </cell>
          <cell r="F1241">
            <v>0.84907584999999997</v>
          </cell>
          <cell r="G1241" t="str">
            <v>SINGAPORE</v>
          </cell>
          <cell r="H1241">
            <v>4</v>
          </cell>
        </row>
        <row r="1242">
          <cell r="B1242" t="str">
            <v>42766TZS</v>
          </cell>
          <cell r="C1242" t="str">
            <v>42766TANZANIA, UNITED REPUBLIC OF</v>
          </cell>
          <cell r="D1242" t="str">
            <v>TZS</v>
          </cell>
          <cell r="E1242">
            <v>7.2943624978498303</v>
          </cell>
          <cell r="F1242">
            <v>5</v>
          </cell>
          <cell r="G1242" t="str">
            <v>TANZANIA, UNITED REPUBLIC OF</v>
          </cell>
          <cell r="H1242">
            <v>6</v>
          </cell>
        </row>
        <row r="1243">
          <cell r="B1243" t="str">
            <v>42766THB</v>
          </cell>
          <cell r="C1243" t="str">
            <v>42766THAILAND</v>
          </cell>
          <cell r="D1243" t="str">
            <v>THB</v>
          </cell>
          <cell r="E1243">
            <v>3.8511922752788621</v>
          </cell>
          <cell r="F1243">
            <v>1.6236607999999999</v>
          </cell>
          <cell r="G1243" t="str">
            <v>THAILAND</v>
          </cell>
          <cell r="H1243">
            <v>5</v>
          </cell>
        </row>
        <row r="1244">
          <cell r="B1244" t="str">
            <v>42766TRY</v>
          </cell>
          <cell r="C1244" t="str">
            <v>42766TURKEY</v>
          </cell>
          <cell r="D1244" t="str">
            <v>TRY</v>
          </cell>
          <cell r="E1244">
            <v>9.570318353270272</v>
          </cell>
          <cell r="F1244">
            <v>8.6657095000000002</v>
          </cell>
          <cell r="G1244" t="str">
            <v>TURKEY</v>
          </cell>
          <cell r="H1244">
            <v>5</v>
          </cell>
        </row>
        <row r="1245">
          <cell r="B1245" t="str">
            <v>42766TWD</v>
          </cell>
          <cell r="C1245" t="str">
            <v>42766TAIWAN</v>
          </cell>
          <cell r="D1245" t="str">
            <v>TWD</v>
          </cell>
          <cell r="E1245">
            <v>3.6096530623692926</v>
          </cell>
          <cell r="F1245">
            <v>1.3985877</v>
          </cell>
          <cell r="G1245" t="str">
            <v>TAIWAN</v>
          </cell>
          <cell r="H1245">
            <v>5</v>
          </cell>
        </row>
        <row r="1246">
          <cell r="B1246" t="str">
            <v>42766UAH</v>
          </cell>
          <cell r="C1246" t="str">
            <v>42766UKRAINE</v>
          </cell>
          <cell r="D1246" t="str">
            <v>UAH</v>
          </cell>
          <cell r="E1246">
            <v>11.431802047705045</v>
          </cell>
          <cell r="F1246">
            <v>9.7404930000000007</v>
          </cell>
          <cell r="G1246" t="str">
            <v>UKRAINE</v>
          </cell>
          <cell r="H1246">
            <v>6</v>
          </cell>
        </row>
        <row r="1247">
          <cell r="B1247" t="str">
            <v>42766USD</v>
          </cell>
          <cell r="C1247" t="str">
            <v>42766UNITED STATES</v>
          </cell>
          <cell r="D1247" t="str">
            <v>USD</v>
          </cell>
          <cell r="E1247">
            <v>4.4638459635544949</v>
          </cell>
          <cell r="F1247">
            <v>2.4297252</v>
          </cell>
          <cell r="G1247" t="str">
            <v>UNITED STATES</v>
          </cell>
          <cell r="H1247">
            <v>4</v>
          </cell>
        </row>
        <row r="1248">
          <cell r="B1248" t="str">
            <v>42766VND</v>
          </cell>
          <cell r="C1248" t="str">
            <v>42766VIET NAM</v>
          </cell>
          <cell r="D1248" t="str">
            <v>VND</v>
          </cell>
          <cell r="E1248">
            <v>5.7670905408208331</v>
          </cell>
          <cell r="F1248">
            <v>4.1006720000000003</v>
          </cell>
          <cell r="G1248" t="str">
            <v>VIET NAM</v>
          </cell>
          <cell r="H1248">
            <v>6</v>
          </cell>
        </row>
        <row r="1249">
          <cell r="B1249" t="str">
            <v>42766XOF</v>
          </cell>
          <cell r="C1249" t="str">
            <v>42766MALI</v>
          </cell>
          <cell r="D1249" t="str">
            <v>XOF</v>
          </cell>
          <cell r="E1249">
            <v>3.9239245524888036</v>
          </cell>
          <cell r="G1249" t="str">
            <v>MALI</v>
          </cell>
          <cell r="H1249">
            <v>6</v>
          </cell>
        </row>
        <row r="1250">
          <cell r="B1250" t="str">
            <v>42766ZAR</v>
          </cell>
          <cell r="C1250" t="str">
            <v>42766SOUTH AFRICA</v>
          </cell>
          <cell r="D1250" t="str">
            <v>ZAR</v>
          </cell>
          <cell r="E1250">
            <v>8.0381491428311662</v>
          </cell>
          <cell r="F1250">
            <v>5.5828237999999999</v>
          </cell>
          <cell r="G1250" t="str">
            <v>SOUTH AFRICA</v>
          </cell>
          <cell r="H1250">
            <v>5</v>
          </cell>
        </row>
        <row r="1251">
          <cell r="B1251" t="str">
            <v>42766ZMW</v>
          </cell>
          <cell r="C1251" t="str">
            <v>42766ZAMBIA</v>
          </cell>
          <cell r="D1251" t="str">
            <v>ZMW</v>
          </cell>
          <cell r="E1251">
            <v>11.713800571851412</v>
          </cell>
          <cell r="G1251" t="str">
            <v>ZAMBIA</v>
          </cell>
          <cell r="H1251">
            <v>6</v>
          </cell>
        </row>
        <row r="1252">
          <cell r="B1252" t="str">
            <v>42766EUR1</v>
          </cell>
          <cell r="C1252" t="str">
            <v>42766BELGIUM</v>
          </cell>
          <cell r="D1252" t="str">
            <v>EUR1</v>
          </cell>
          <cell r="E1252">
            <v>3.3851593640542612</v>
          </cell>
          <cell r="G1252" t="str">
            <v>BELGIUM</v>
          </cell>
          <cell r="H1252">
            <v>4</v>
          </cell>
        </row>
        <row r="1253">
          <cell r="B1253" t="str">
            <v>42766EUR2</v>
          </cell>
          <cell r="C1253" t="str">
            <v>42766CYPRUS</v>
          </cell>
          <cell r="D1253" t="str">
            <v>EUR2</v>
          </cell>
          <cell r="E1253">
            <v>3.3851593640542612</v>
          </cell>
          <cell r="G1253" t="str">
            <v>CYPRUS</v>
          </cell>
          <cell r="H1253">
            <v>5</v>
          </cell>
        </row>
        <row r="1254">
          <cell r="B1254" t="str">
            <v>42766EUR3</v>
          </cell>
          <cell r="C1254" t="str">
            <v>42766ESTONIA</v>
          </cell>
          <cell r="D1254" t="str">
            <v>EUR3</v>
          </cell>
          <cell r="E1254">
            <v>3.3851593640542612</v>
          </cell>
          <cell r="G1254" t="str">
            <v>ESTONIA</v>
          </cell>
          <cell r="H1254">
            <v>6</v>
          </cell>
        </row>
        <row r="1255">
          <cell r="B1255" t="str">
            <v>42766EUR4</v>
          </cell>
          <cell r="C1255" t="str">
            <v>42766FINLAND</v>
          </cell>
          <cell r="D1255" t="str">
            <v>EUR4</v>
          </cell>
          <cell r="E1255">
            <v>3.3851593640542612</v>
          </cell>
          <cell r="G1255" t="str">
            <v>FINLAND</v>
          </cell>
          <cell r="H1255">
            <v>4</v>
          </cell>
        </row>
        <row r="1256">
          <cell r="B1256" t="str">
            <v>42766EUR5</v>
          </cell>
          <cell r="C1256" t="str">
            <v>42766FRANCE</v>
          </cell>
          <cell r="D1256" t="str">
            <v>EUR5</v>
          </cell>
          <cell r="E1256">
            <v>3.3851593640542612</v>
          </cell>
          <cell r="G1256" t="str">
            <v>FRANCE</v>
          </cell>
          <cell r="H1256">
            <v>4</v>
          </cell>
        </row>
        <row r="1257">
          <cell r="B1257" t="str">
            <v>42766EUR6</v>
          </cell>
          <cell r="C1257" t="str">
            <v>42766GERMANY</v>
          </cell>
          <cell r="D1257" t="str">
            <v>EUR6</v>
          </cell>
          <cell r="E1257">
            <v>3.3851593640542612</v>
          </cell>
          <cell r="G1257" t="str">
            <v>GERMANY</v>
          </cell>
          <cell r="H1257">
            <v>4.321382367794798</v>
          </cell>
        </row>
        <row r="1258">
          <cell r="B1258" t="str">
            <v>42766EUR7</v>
          </cell>
          <cell r="C1258" t="str">
            <v>42766GREECE</v>
          </cell>
          <cell r="D1258" t="str">
            <v>EUR7</v>
          </cell>
          <cell r="E1258">
            <v>3.3851593640542612</v>
          </cell>
          <cell r="G1258" t="str">
            <v>GREECE</v>
          </cell>
          <cell r="H1258">
            <v>10</v>
          </cell>
        </row>
        <row r="1259">
          <cell r="B1259" t="str">
            <v>42766EUR8</v>
          </cell>
          <cell r="C1259" t="str">
            <v>42766IRELAND</v>
          </cell>
          <cell r="D1259" t="str">
            <v>EUR8</v>
          </cell>
          <cell r="E1259">
            <v>3.3851593640542612</v>
          </cell>
          <cell r="G1259" t="str">
            <v>IRELAND</v>
          </cell>
          <cell r="H1259">
            <v>4</v>
          </cell>
        </row>
        <row r="1260">
          <cell r="B1260" t="str">
            <v>42766EUR9</v>
          </cell>
          <cell r="C1260" t="str">
            <v>42766ITALY</v>
          </cell>
          <cell r="D1260" t="str">
            <v>EUR9</v>
          </cell>
          <cell r="E1260">
            <v>3.3851593640542612</v>
          </cell>
          <cell r="G1260" t="str">
            <v>ITALY</v>
          </cell>
          <cell r="H1260">
            <v>4</v>
          </cell>
        </row>
        <row r="1261">
          <cell r="B1261" t="str">
            <v>42766EUR10</v>
          </cell>
          <cell r="C1261" t="str">
            <v>42766LATVIA</v>
          </cell>
          <cell r="D1261" t="str">
            <v>EUR10</v>
          </cell>
          <cell r="E1261">
            <v>3.3851593640542612</v>
          </cell>
          <cell r="G1261" t="str">
            <v>LATVIA</v>
          </cell>
          <cell r="H1261">
            <v>6</v>
          </cell>
        </row>
        <row r="1262">
          <cell r="B1262" t="str">
            <v>42766EUR11</v>
          </cell>
          <cell r="C1262" t="str">
            <v>42766LUXEMBOURG</v>
          </cell>
          <cell r="D1262" t="str">
            <v>EUR11</v>
          </cell>
          <cell r="E1262">
            <v>3.3851593640542612</v>
          </cell>
          <cell r="G1262" t="str">
            <v>LUXEMBOURG</v>
          </cell>
          <cell r="H1262">
            <v>4</v>
          </cell>
        </row>
        <row r="1263">
          <cell r="B1263" t="str">
            <v>42766EUR12</v>
          </cell>
          <cell r="C1263" t="str">
            <v>42766MALTA</v>
          </cell>
          <cell r="D1263" t="str">
            <v>EUR12</v>
          </cell>
          <cell r="E1263">
            <v>3.3851593640542612</v>
          </cell>
          <cell r="G1263" t="str">
            <v>MALTA</v>
          </cell>
          <cell r="H1263">
            <v>4</v>
          </cell>
        </row>
        <row r="1264">
          <cell r="B1264" t="str">
            <v>42766EUR13</v>
          </cell>
          <cell r="C1264" t="str">
            <v>42766MONTENEGRO</v>
          </cell>
          <cell r="D1264" t="str">
            <v>EUR13</v>
          </cell>
          <cell r="E1264">
            <v>3.3851593640542612</v>
          </cell>
          <cell r="G1264" t="str">
            <v>MONTENEGRO</v>
          </cell>
          <cell r="H1264">
            <v>6</v>
          </cell>
        </row>
        <row r="1265">
          <cell r="B1265" t="str">
            <v>42766EUR14</v>
          </cell>
          <cell r="C1265" t="str">
            <v>42766NETHERLANDS</v>
          </cell>
          <cell r="D1265" t="str">
            <v>EUR14</v>
          </cell>
          <cell r="E1265">
            <v>3.3851593640542612</v>
          </cell>
          <cell r="G1265" t="str">
            <v>NETHERLANDS</v>
          </cell>
          <cell r="H1265">
            <v>4</v>
          </cell>
        </row>
        <row r="1266">
          <cell r="B1266" t="str">
            <v>42766EUR15</v>
          </cell>
          <cell r="C1266" t="str">
            <v>42766PORTUGAL</v>
          </cell>
          <cell r="D1266" t="str">
            <v>EUR15</v>
          </cell>
          <cell r="E1266">
            <v>3.3851593640542612</v>
          </cell>
          <cell r="G1266" t="str">
            <v>PORTUGAL</v>
          </cell>
          <cell r="H1266">
            <v>4</v>
          </cell>
        </row>
        <row r="1267">
          <cell r="B1267" t="str">
            <v>42766EUR16</v>
          </cell>
          <cell r="C1267" t="str">
            <v>42766SLOVAKIA</v>
          </cell>
          <cell r="D1267" t="str">
            <v>EUR16</v>
          </cell>
          <cell r="E1267">
            <v>3.3851593640542612</v>
          </cell>
          <cell r="G1267" t="str">
            <v>SLOVAKIA</v>
          </cell>
          <cell r="H1267">
            <v>5</v>
          </cell>
        </row>
        <row r="1268">
          <cell r="B1268" t="str">
            <v>42766EUR17</v>
          </cell>
          <cell r="C1268" t="str">
            <v>42766SLOVENIA</v>
          </cell>
          <cell r="D1268" t="str">
            <v>EUR17</v>
          </cell>
          <cell r="E1268">
            <v>3.3851593640542612</v>
          </cell>
          <cell r="G1268" t="str">
            <v>SLOVENIA</v>
          </cell>
          <cell r="H1268">
            <v>6</v>
          </cell>
        </row>
        <row r="1269">
          <cell r="B1269" t="str">
            <v>42766EUR18</v>
          </cell>
          <cell r="C1269" t="str">
            <v>42766SPAIN</v>
          </cell>
          <cell r="D1269" t="str">
            <v>EUR18</v>
          </cell>
          <cell r="E1269">
            <v>3.3851593640542612</v>
          </cell>
          <cell r="G1269" t="str">
            <v>SPAIN</v>
          </cell>
          <cell r="H1269">
            <v>4</v>
          </cell>
        </row>
        <row r="1270">
          <cell r="B1270" t="str">
            <v>42766Eastern European Institutions</v>
          </cell>
          <cell r="C1270" t="str">
            <v>42766Eastern European Institutions</v>
          </cell>
          <cell r="D1270" t="str">
            <v>Eastern European Institutions</v>
          </cell>
          <cell r="E1270">
            <v>2.25</v>
          </cell>
          <cell r="G1270" t="str">
            <v>Eastern European Institutions</v>
          </cell>
          <cell r="H1270">
            <v>5</v>
          </cell>
        </row>
        <row r="1271">
          <cell r="B1271" t="str">
            <v>42794AED</v>
          </cell>
          <cell r="C1271" t="str">
            <v>42794U. A. E.</v>
          </cell>
          <cell r="D1271" t="str">
            <v>AED</v>
          </cell>
          <cell r="E1271">
            <v>5.5838658449017178</v>
          </cell>
          <cell r="F1271">
            <v>2.4393850000000001</v>
          </cell>
          <cell r="G1271" t="str">
            <v>U. A. E.</v>
          </cell>
          <cell r="H1271">
            <v>5</v>
          </cell>
        </row>
        <row r="1272">
          <cell r="B1272" t="str">
            <v>42794ARS</v>
          </cell>
          <cell r="C1272" t="str">
            <v>42794ARGENTINA</v>
          </cell>
          <cell r="D1272" t="str">
            <v>ARS</v>
          </cell>
          <cell r="E1272">
            <v>20.914891568350427</v>
          </cell>
          <cell r="F1272">
            <v>19.956854</v>
          </cell>
          <cell r="G1272" t="str">
            <v>ARGENTINA</v>
          </cell>
          <cell r="H1272">
            <v>6</v>
          </cell>
        </row>
        <row r="1273">
          <cell r="B1273" t="str">
            <v>42794AUD</v>
          </cell>
          <cell r="C1273" t="str">
            <v>42794AUSTRALIA</v>
          </cell>
          <cell r="D1273" t="str">
            <v>AUD</v>
          </cell>
          <cell r="E1273">
            <v>4.4235669135777291</v>
          </cell>
          <cell r="F1273">
            <v>2.1855647999999999</v>
          </cell>
          <cell r="G1273" t="str">
            <v>AUSTRALIA</v>
          </cell>
          <cell r="H1273">
            <v>4</v>
          </cell>
        </row>
        <row r="1274">
          <cell r="B1274" t="str">
            <v>42794BDT</v>
          </cell>
          <cell r="C1274" t="str">
            <v>42794BANGLADESH</v>
          </cell>
          <cell r="D1274" t="str">
            <v>BDT</v>
          </cell>
          <cell r="E1274">
            <v>8.7282761424205138</v>
          </cell>
          <cell r="F1274">
            <v>5.8314123000000002</v>
          </cell>
          <cell r="G1274" t="str">
            <v>BANGLADESH</v>
          </cell>
          <cell r="H1274">
            <v>6</v>
          </cell>
        </row>
        <row r="1275">
          <cell r="B1275" t="str">
            <v>42794BRL</v>
          </cell>
          <cell r="C1275" t="str">
            <v>42794BRAZIL</v>
          </cell>
          <cell r="D1275" t="str">
            <v>BRL</v>
          </cell>
          <cell r="E1275">
            <v>7.8917448905228262</v>
          </cell>
          <cell r="F1275">
            <v>4.5894909999999998</v>
          </cell>
          <cell r="G1275" t="str">
            <v>BRAZIL</v>
          </cell>
          <cell r="H1275">
            <v>6</v>
          </cell>
        </row>
        <row r="1276">
          <cell r="B1276" t="str">
            <v>42794BWP</v>
          </cell>
          <cell r="C1276" t="str">
            <v>42794BOTSWANA</v>
          </cell>
          <cell r="D1276" t="str">
            <v>BWP</v>
          </cell>
          <cell r="E1276">
            <v>6.0491996276506734</v>
          </cell>
          <cell r="F1276">
            <v>3.5333333333333337</v>
          </cell>
          <cell r="G1276" t="str">
            <v>BOTSWANA</v>
          </cell>
          <cell r="H1276">
            <v>6</v>
          </cell>
        </row>
        <row r="1277">
          <cell r="B1277" t="str">
            <v>42794CAD</v>
          </cell>
          <cell r="C1277" t="str">
            <v>42794CANADA</v>
          </cell>
          <cell r="D1277" t="str">
            <v>CAD</v>
          </cell>
          <cell r="E1277">
            <v>4.2034582929771727</v>
          </cell>
          <cell r="F1277">
            <v>2.0221930000000001</v>
          </cell>
          <cell r="G1277" t="str">
            <v>CANADA</v>
          </cell>
          <cell r="H1277">
            <v>4</v>
          </cell>
        </row>
        <row r="1278">
          <cell r="B1278" t="str">
            <v>42794CHF</v>
          </cell>
          <cell r="C1278" t="str">
            <v>42794SWITZERLAND</v>
          </cell>
          <cell r="D1278" t="str">
            <v>CHF</v>
          </cell>
          <cell r="E1278">
            <v>2.6430719669002603</v>
          </cell>
          <cell r="F1278">
            <v>0.40938580000000002</v>
          </cell>
          <cell r="G1278" t="str">
            <v>SWITZERLAND</v>
          </cell>
          <cell r="H1278">
            <v>4</v>
          </cell>
        </row>
        <row r="1279">
          <cell r="B1279" t="str">
            <v>42794CLP</v>
          </cell>
          <cell r="C1279" t="str">
            <v>42794CHILE</v>
          </cell>
          <cell r="D1279" t="str">
            <v>CLP</v>
          </cell>
          <cell r="E1279">
            <v>5.4474953500336412</v>
          </cell>
          <cell r="F1279">
            <v>2.9785922</v>
          </cell>
          <cell r="G1279" t="str">
            <v>CHILE</v>
          </cell>
          <cell r="H1279">
            <v>5</v>
          </cell>
        </row>
        <row r="1280">
          <cell r="B1280" t="str">
            <v>42794CNY</v>
          </cell>
          <cell r="C1280" t="str">
            <v>42794CHINA</v>
          </cell>
          <cell r="D1280" t="str">
            <v>CNY</v>
          </cell>
          <cell r="E1280">
            <v>4.7245247585930885</v>
          </cell>
          <cell r="F1280">
            <v>2.2654334999999999</v>
          </cell>
          <cell r="G1280" t="str">
            <v>CHINA</v>
          </cell>
          <cell r="H1280">
            <v>5</v>
          </cell>
        </row>
        <row r="1281">
          <cell r="B1281" t="str">
            <v>42794COP</v>
          </cell>
          <cell r="C1281" t="str">
            <v>42794COLOMBIA</v>
          </cell>
          <cell r="D1281" t="str">
            <v>COP</v>
          </cell>
          <cell r="E1281">
            <v>6.3999413746283853</v>
          </cell>
          <cell r="F1281">
            <v>4.1425049999999999</v>
          </cell>
          <cell r="G1281" t="str">
            <v>COLOMBIA</v>
          </cell>
          <cell r="H1281">
            <v>5</v>
          </cell>
        </row>
        <row r="1282">
          <cell r="B1282" t="str">
            <v>42794CZK</v>
          </cell>
          <cell r="C1282" t="str">
            <v>42794CZECH REPUBLIC</v>
          </cell>
          <cell r="D1282" t="str">
            <v>CZK</v>
          </cell>
          <cell r="E1282">
            <v>3.9383105073900229</v>
          </cell>
          <cell r="F1282">
            <v>2.1460078</v>
          </cell>
          <cell r="G1282" t="str">
            <v>CZECH REPUBLIC</v>
          </cell>
          <cell r="H1282">
            <v>5</v>
          </cell>
        </row>
        <row r="1283">
          <cell r="B1283" t="str">
            <v>42794DKK</v>
          </cell>
          <cell r="C1283" t="str">
            <v>42794DENMARK</v>
          </cell>
          <cell r="D1283" t="str">
            <v>DKK</v>
          </cell>
          <cell r="E1283">
            <v>3.5884260318330732</v>
          </cell>
          <cell r="F1283">
            <v>1.1326091</v>
          </cell>
          <cell r="G1283" t="str">
            <v>DENMARK</v>
          </cell>
          <cell r="H1283">
            <v>4</v>
          </cell>
        </row>
        <row r="1284">
          <cell r="B1284" t="str">
            <v>42794EGP</v>
          </cell>
          <cell r="C1284" t="str">
            <v>42794EGYPT</v>
          </cell>
          <cell r="D1284" t="str">
            <v>EGP</v>
          </cell>
          <cell r="E1284">
            <v>13.824909055235549</v>
          </cell>
          <cell r="F1284">
            <v>18.918095000000001</v>
          </cell>
          <cell r="G1284" t="str">
            <v>EGYPT</v>
          </cell>
          <cell r="H1284">
            <v>5</v>
          </cell>
        </row>
        <row r="1285">
          <cell r="B1285" t="str">
            <v>42794EUR</v>
          </cell>
          <cell r="C1285" t="str">
            <v>42794AUSTRIA</v>
          </cell>
          <cell r="D1285" t="str">
            <v>EUR</v>
          </cell>
          <cell r="E1285">
            <v>3.3851593640542612</v>
          </cell>
          <cell r="F1285">
            <v>1.5562073333333335</v>
          </cell>
          <cell r="G1285" t="str">
            <v>AUSTRIA</v>
          </cell>
          <cell r="H1285">
            <v>4</v>
          </cell>
        </row>
        <row r="1286">
          <cell r="B1286" t="str">
            <v>42794GBP</v>
          </cell>
          <cell r="C1286" t="str">
            <v>42794UNITED KINGDOM</v>
          </cell>
          <cell r="D1286" t="str">
            <v>GBP</v>
          </cell>
          <cell r="E1286">
            <v>4.2176414689261845</v>
          </cell>
          <cell r="F1286">
            <v>3.3731149999999999</v>
          </cell>
          <cell r="G1286" t="str">
            <v>UNITED KINGDOM</v>
          </cell>
          <cell r="H1286">
            <v>4</v>
          </cell>
        </row>
        <row r="1287">
          <cell r="B1287" t="str">
            <v>42794GEL</v>
          </cell>
          <cell r="C1287" t="str">
            <v>42794GEORGIA</v>
          </cell>
          <cell r="D1287" t="str">
            <v>GEL</v>
          </cell>
          <cell r="E1287">
            <v>5.3921435735881076</v>
          </cell>
          <cell r="F1287">
            <v>3.5916666666666668</v>
          </cell>
          <cell r="G1287" t="str">
            <v>GEORGIA</v>
          </cell>
          <cell r="H1287">
            <v>6</v>
          </cell>
        </row>
        <row r="1288">
          <cell r="B1288" t="str">
            <v>42794HKD</v>
          </cell>
          <cell r="C1288" t="str">
            <v>42794HONG KONG</v>
          </cell>
          <cell r="D1288" t="str">
            <v>HKD</v>
          </cell>
          <cell r="E1288">
            <v>4.9499026289057593</v>
          </cell>
          <cell r="F1288">
            <v>2.4393850000000001</v>
          </cell>
          <cell r="G1288" t="str">
            <v>HONG KONG</v>
          </cell>
          <cell r="H1288">
            <v>4</v>
          </cell>
        </row>
        <row r="1289">
          <cell r="B1289" t="str">
            <v>42794GHS</v>
          </cell>
          <cell r="C1289" t="str">
            <v>42794GHANA</v>
          </cell>
          <cell r="D1289" t="str">
            <v>GHS</v>
          </cell>
          <cell r="E1289">
            <v>11.370392090121431</v>
          </cell>
          <cell r="F1289">
            <v>9.4741666666666653</v>
          </cell>
          <cell r="G1289" t="str">
            <v>GHANA</v>
          </cell>
          <cell r="H1289">
            <v>6</v>
          </cell>
        </row>
        <row r="1290">
          <cell r="B1290" t="str">
            <v>42794HRK</v>
          </cell>
          <cell r="C1290" t="str">
            <v>42794CROATIA</v>
          </cell>
          <cell r="D1290" t="str">
            <v>HRK</v>
          </cell>
          <cell r="E1290">
            <v>3.3209506494321452</v>
          </cell>
          <cell r="F1290">
            <v>0.92600000000000005</v>
          </cell>
          <cell r="G1290" t="str">
            <v>CROATIA</v>
          </cell>
          <cell r="H1290">
            <v>6</v>
          </cell>
        </row>
        <row r="1291">
          <cell r="B1291" t="str">
            <v>42794HUF</v>
          </cell>
          <cell r="C1291" t="str">
            <v>42794HUNGARY</v>
          </cell>
          <cell r="D1291" t="str">
            <v>HUF</v>
          </cell>
          <cell r="E1291">
            <v>4.4253046746673999</v>
          </cell>
          <cell r="F1291">
            <v>2.4700498999999998</v>
          </cell>
          <cell r="G1291" t="str">
            <v>HUNGARY</v>
          </cell>
          <cell r="H1291">
            <v>5</v>
          </cell>
        </row>
        <row r="1292">
          <cell r="B1292" t="str">
            <v>42794IDR</v>
          </cell>
          <cell r="C1292" t="str">
            <v>42794INDONESIA</v>
          </cell>
          <cell r="D1292" t="str">
            <v>IDR</v>
          </cell>
          <cell r="E1292">
            <v>6.3702882196320845</v>
          </cell>
          <cell r="F1292">
            <v>4.2112999999999996</v>
          </cell>
          <cell r="G1292" t="str">
            <v>INDONESIA</v>
          </cell>
          <cell r="H1292">
            <v>5</v>
          </cell>
        </row>
        <row r="1293">
          <cell r="B1293" t="str">
            <v>42794ILS</v>
          </cell>
          <cell r="C1293" t="str">
            <v>42794ISRAEL</v>
          </cell>
          <cell r="D1293" t="str">
            <v>ILS</v>
          </cell>
          <cell r="E1293">
            <v>3.4156539278355416</v>
          </cell>
          <cell r="F1293">
            <v>0.9603005</v>
          </cell>
          <cell r="G1293" t="str">
            <v>ISRAEL</v>
          </cell>
          <cell r="H1293">
            <v>4</v>
          </cell>
        </row>
        <row r="1294">
          <cell r="B1294" t="str">
            <v>42794INR</v>
          </cell>
          <cell r="C1294" t="str">
            <v>42794INDIA</v>
          </cell>
          <cell r="D1294" t="str">
            <v>INR</v>
          </cell>
          <cell r="E1294">
            <v>7.4774887317642182</v>
          </cell>
          <cell r="F1294">
            <v>4.8427410000000002</v>
          </cell>
          <cell r="G1294" t="str">
            <v>INDIA</v>
          </cell>
          <cell r="H1294">
            <v>5</v>
          </cell>
        </row>
        <row r="1295">
          <cell r="B1295" t="str">
            <v>42794IQD</v>
          </cell>
          <cell r="C1295" t="str">
            <v>42794IRAQ</v>
          </cell>
          <cell r="D1295" t="str">
            <v>IQD</v>
          </cell>
          <cell r="E1295">
            <v>4.2500000000000018</v>
          </cell>
          <cell r="F1295">
            <v>2</v>
          </cell>
          <cell r="G1295" t="str">
            <v>IRAQ</v>
          </cell>
          <cell r="H1295">
            <v>6</v>
          </cell>
        </row>
        <row r="1296">
          <cell r="B1296" t="str">
            <v>42794JPY</v>
          </cell>
          <cell r="C1296" t="str">
            <v>42794JAPAN</v>
          </cell>
          <cell r="D1296" t="str">
            <v>JPY</v>
          </cell>
          <cell r="E1296">
            <v>2.9897897786433516</v>
          </cell>
          <cell r="F1296">
            <v>0.73249054000000002</v>
          </cell>
          <cell r="G1296" t="str">
            <v>JAPAN</v>
          </cell>
          <cell r="H1296">
            <v>4</v>
          </cell>
        </row>
        <row r="1297">
          <cell r="B1297" t="str">
            <v>42794KES</v>
          </cell>
          <cell r="C1297" t="str">
            <v>42794KENYA</v>
          </cell>
          <cell r="D1297" t="str">
            <v>KES</v>
          </cell>
          <cell r="E1297">
            <v>7.6084926403903221</v>
          </cell>
          <cell r="F1297">
            <v>5.4489999999999998</v>
          </cell>
          <cell r="G1297" t="str">
            <v>KENYA</v>
          </cell>
          <cell r="H1297">
            <v>7.5</v>
          </cell>
        </row>
        <row r="1298">
          <cell r="B1298" t="str">
            <v>42794KHR</v>
          </cell>
          <cell r="C1298" t="str">
            <v>42794CAMBODIA</v>
          </cell>
          <cell r="D1298" t="str">
            <v>KHR</v>
          </cell>
          <cell r="E1298">
            <v>5.2316942649170119</v>
          </cell>
          <cell r="F1298">
            <v>2.7816666666666672</v>
          </cell>
          <cell r="G1298" t="str">
            <v>CAMBODIA</v>
          </cell>
          <cell r="H1298">
            <v>6</v>
          </cell>
        </row>
        <row r="1299">
          <cell r="B1299" t="str">
            <v>42794KRW</v>
          </cell>
          <cell r="C1299" t="str">
            <v>42794KOREA SOUTH(REPUBLIC OF KOREA)</v>
          </cell>
          <cell r="D1299" t="str">
            <v>KRW</v>
          </cell>
          <cell r="E1299">
            <v>4.0236839542202842</v>
          </cell>
          <cell r="F1299">
            <v>1.7236198</v>
          </cell>
          <cell r="G1299" t="str">
            <v>KOREA SOUTH(REPUBLIC OF KOREA)</v>
          </cell>
          <cell r="H1299">
            <v>5</v>
          </cell>
        </row>
        <row r="1300">
          <cell r="B1300" t="str">
            <v>42794KWD</v>
          </cell>
          <cell r="C1300" t="str">
            <v>42794KUWAIT</v>
          </cell>
          <cell r="D1300" t="str">
            <v>KWD</v>
          </cell>
          <cell r="E1300">
            <v>5.8499227798076738</v>
          </cell>
          <cell r="F1300">
            <v>3.7666666666666666</v>
          </cell>
          <cell r="G1300" t="str">
            <v>KUWAIT</v>
          </cell>
          <cell r="H1300">
            <v>6</v>
          </cell>
        </row>
        <row r="1301">
          <cell r="B1301" t="str">
            <v>42794LKR</v>
          </cell>
          <cell r="C1301" t="str">
            <v>42794SRI LANKA</v>
          </cell>
          <cell r="D1301" t="str">
            <v>LKR</v>
          </cell>
          <cell r="E1301">
            <v>7.1465574110770849</v>
          </cell>
          <cell r="F1301">
            <v>4.685988</v>
          </cell>
          <cell r="G1301" t="str">
            <v>SRI LANKA</v>
          </cell>
          <cell r="H1301">
            <v>6</v>
          </cell>
        </row>
        <row r="1302">
          <cell r="B1302" t="str">
            <v>42794KZT</v>
          </cell>
          <cell r="C1302" t="str">
            <v>42794KAZAKHSTAN</v>
          </cell>
          <cell r="D1302" t="str">
            <v>KZT</v>
          </cell>
          <cell r="E1302">
            <v>11.702472282512669</v>
          </cell>
          <cell r="F1302">
            <v>9.211666666666666</v>
          </cell>
          <cell r="G1302" t="str">
            <v>KAZAKHSTAN</v>
          </cell>
          <cell r="H1302">
            <v>6</v>
          </cell>
        </row>
        <row r="1303">
          <cell r="B1303" t="str">
            <v>42794MAD</v>
          </cell>
          <cell r="C1303" t="str">
            <v>42794MOROCCO</v>
          </cell>
          <cell r="D1303" t="str">
            <v>MAD</v>
          </cell>
          <cell r="E1303">
            <v>3.8494689282919916</v>
          </cell>
          <cell r="F1303">
            <v>1.3166666666666669</v>
          </cell>
          <cell r="G1303" t="str">
            <v>MOROCCO</v>
          </cell>
          <cell r="H1303">
            <v>6</v>
          </cell>
        </row>
        <row r="1304">
          <cell r="B1304" t="str">
            <v>42794MXN</v>
          </cell>
          <cell r="C1304" t="str">
            <v>42794MEXICO</v>
          </cell>
          <cell r="D1304" t="str">
            <v>MXN</v>
          </cell>
          <cell r="E1304">
            <v>5.2830645078890717</v>
          </cell>
          <cell r="F1304">
            <v>5.0951214</v>
          </cell>
          <cell r="G1304" t="str">
            <v>MEXICO</v>
          </cell>
          <cell r="H1304">
            <v>7</v>
          </cell>
        </row>
        <row r="1305">
          <cell r="B1305" t="str">
            <v>42794MYR</v>
          </cell>
          <cell r="C1305" t="str">
            <v>42794MALAYSIA</v>
          </cell>
          <cell r="D1305" t="str">
            <v>MYR</v>
          </cell>
          <cell r="E1305">
            <v>5.0482023837028525</v>
          </cell>
          <cell r="F1305">
            <v>2.6886983</v>
          </cell>
          <cell r="G1305" t="str">
            <v>MALAYSIA</v>
          </cell>
          <cell r="H1305">
            <v>5</v>
          </cell>
        </row>
        <row r="1306">
          <cell r="B1306" t="str">
            <v>42794NGN</v>
          </cell>
          <cell r="C1306" t="str">
            <v>42794NIGERIA</v>
          </cell>
          <cell r="D1306" t="str">
            <v>NGN</v>
          </cell>
          <cell r="E1306">
            <v>17.846980104209756</v>
          </cell>
          <cell r="F1306">
            <v>14.228358</v>
          </cell>
          <cell r="G1306" t="str">
            <v>NIGERIA</v>
          </cell>
          <cell r="H1306">
            <v>8</v>
          </cell>
        </row>
        <row r="1307">
          <cell r="B1307" t="str">
            <v>42794NOK</v>
          </cell>
          <cell r="C1307" t="str">
            <v>42794NORWAY</v>
          </cell>
          <cell r="D1307" t="str">
            <v>NOK</v>
          </cell>
          <cell r="E1307">
            <v>4.8495333363926898</v>
          </cell>
          <cell r="F1307">
            <v>2.2239589999999998</v>
          </cell>
          <cell r="G1307" t="str">
            <v>NORWAY</v>
          </cell>
          <cell r="H1307">
            <v>4</v>
          </cell>
        </row>
        <row r="1308">
          <cell r="B1308" t="str">
            <v>42794NZD</v>
          </cell>
          <cell r="C1308" t="str">
            <v>42794NEW ZEALAND</v>
          </cell>
          <cell r="D1308" t="str">
            <v>NZD</v>
          </cell>
          <cell r="E1308">
            <v>3.8954970060277851</v>
          </cell>
          <cell r="F1308">
            <v>1.770524</v>
          </cell>
          <cell r="G1308" t="str">
            <v>NEW ZEALAND</v>
          </cell>
          <cell r="H1308">
            <v>4.528069907549944</v>
          </cell>
        </row>
        <row r="1309">
          <cell r="B1309" t="str">
            <v>42794OMR</v>
          </cell>
          <cell r="C1309" t="str">
            <v>42794OMAN</v>
          </cell>
          <cell r="D1309" t="str">
            <v>OMR</v>
          </cell>
          <cell r="E1309">
            <v>4.7996173308366732</v>
          </cell>
          <cell r="F1309">
            <v>2.4393850000000001</v>
          </cell>
          <cell r="G1309" t="str">
            <v>OMAN</v>
          </cell>
          <cell r="H1309">
            <v>6</v>
          </cell>
        </row>
        <row r="1310">
          <cell r="B1310" t="str">
            <v>42794PEN</v>
          </cell>
          <cell r="C1310" t="str">
            <v>42794PERU</v>
          </cell>
          <cell r="D1310" t="str">
            <v>PEN</v>
          </cell>
          <cell r="E1310">
            <v>4.9589292857872094</v>
          </cell>
          <cell r="F1310">
            <v>2.8504149999999999</v>
          </cell>
          <cell r="G1310" t="str">
            <v>PERU</v>
          </cell>
          <cell r="H1310">
            <v>5</v>
          </cell>
        </row>
        <row r="1311">
          <cell r="B1311" t="str">
            <v>42794PHP</v>
          </cell>
          <cell r="C1311" t="str">
            <v>42794PHILIPPINES</v>
          </cell>
          <cell r="D1311" t="str">
            <v>PHP</v>
          </cell>
          <cell r="E1311">
            <v>5.4213923617381123</v>
          </cell>
          <cell r="F1311">
            <v>3.1507963999999999</v>
          </cell>
          <cell r="G1311" t="str">
            <v>PHILIPPINES</v>
          </cell>
          <cell r="H1311">
            <v>5</v>
          </cell>
        </row>
        <row r="1312">
          <cell r="B1312" t="str">
            <v>42794PKR</v>
          </cell>
          <cell r="C1312" t="str">
            <v>42794PAKISTAN</v>
          </cell>
          <cell r="D1312" t="str">
            <v>PKR</v>
          </cell>
          <cell r="E1312">
            <v>6.8588829756929295</v>
          </cell>
          <cell r="F1312">
            <v>4.7809090000000003</v>
          </cell>
          <cell r="G1312" t="str">
            <v>PAKISTAN</v>
          </cell>
          <cell r="H1312">
            <v>6</v>
          </cell>
        </row>
        <row r="1313">
          <cell r="B1313" t="str">
            <v>42794PLN</v>
          </cell>
          <cell r="C1313" t="str">
            <v>42794POLAND</v>
          </cell>
          <cell r="D1313" t="str">
            <v>PLN</v>
          </cell>
          <cell r="E1313">
            <v>3.6694742112638048</v>
          </cell>
          <cell r="F1313">
            <v>1.7458119000000001</v>
          </cell>
          <cell r="G1313" t="str">
            <v>POLAND</v>
          </cell>
          <cell r="H1313">
            <v>5</v>
          </cell>
        </row>
        <row r="1314">
          <cell r="B1314" t="str">
            <v>42794QAR</v>
          </cell>
          <cell r="C1314" t="str">
            <v>42794QATAR</v>
          </cell>
          <cell r="D1314" t="str">
            <v>QAR</v>
          </cell>
          <cell r="E1314">
            <v>4.9229424636614318</v>
          </cell>
          <cell r="F1314">
            <v>2.4393850000000001</v>
          </cell>
          <cell r="G1314" t="str">
            <v>QATAR</v>
          </cell>
          <cell r="H1314">
            <v>5</v>
          </cell>
        </row>
        <row r="1315">
          <cell r="B1315" t="str">
            <v>42794RON</v>
          </cell>
          <cell r="C1315" t="str">
            <v>42794ROMANIA</v>
          </cell>
          <cell r="D1315" t="str">
            <v>RON</v>
          </cell>
          <cell r="E1315">
            <v>3.9515129985019861</v>
          </cell>
          <cell r="F1315">
            <v>1.8552333999999999</v>
          </cell>
          <cell r="G1315" t="str">
            <v>ROMANIA</v>
          </cell>
          <cell r="H1315">
            <v>6</v>
          </cell>
        </row>
        <row r="1316">
          <cell r="B1316" t="str">
            <v>42794RUB</v>
          </cell>
          <cell r="C1316" t="str">
            <v>42794RUSSIAN FEDERATION</v>
          </cell>
          <cell r="D1316" t="str">
            <v>RUB</v>
          </cell>
          <cell r="E1316">
            <v>7.1918878195997218</v>
          </cell>
          <cell r="F1316">
            <v>4.5237879999999997</v>
          </cell>
          <cell r="G1316" t="str">
            <v>RUSSIAN FEDERATION</v>
          </cell>
          <cell r="H1316">
            <v>5</v>
          </cell>
        </row>
        <row r="1317">
          <cell r="B1317" t="str">
            <v>42794SAR</v>
          </cell>
          <cell r="C1317" t="str">
            <v>42794SAUDI ARABIA</v>
          </cell>
          <cell r="D1317" t="str">
            <v>SAR</v>
          </cell>
          <cell r="E1317">
            <v>5.2006270130464474</v>
          </cell>
          <cell r="F1317">
            <v>2.4393850000000001</v>
          </cell>
          <cell r="G1317" t="str">
            <v>SAUDI ARABIA</v>
          </cell>
          <cell r="H1317">
            <v>5</v>
          </cell>
        </row>
        <row r="1318">
          <cell r="B1318" t="str">
            <v>42794SEK</v>
          </cell>
          <cell r="C1318" t="str">
            <v>42794SWEDEN</v>
          </cell>
          <cell r="D1318" t="str">
            <v>SEK</v>
          </cell>
          <cell r="E1318">
            <v>3.9425293207783687</v>
          </cell>
          <cell r="F1318">
            <v>1.6384854</v>
          </cell>
          <cell r="G1318" t="str">
            <v>SWEDEN</v>
          </cell>
          <cell r="H1318">
            <v>4</v>
          </cell>
        </row>
        <row r="1319">
          <cell r="B1319" t="str">
            <v>42794SGD</v>
          </cell>
          <cell r="C1319" t="str">
            <v>42794SINGAPORE</v>
          </cell>
          <cell r="D1319" t="str">
            <v>SGD</v>
          </cell>
          <cell r="E1319">
            <v>3.5375869420093</v>
          </cell>
          <cell r="F1319">
            <v>0.89518653999999998</v>
          </cell>
          <cell r="G1319" t="str">
            <v>SINGAPORE</v>
          </cell>
          <cell r="H1319">
            <v>4</v>
          </cell>
        </row>
        <row r="1320">
          <cell r="B1320" t="str">
            <v>42794TZS</v>
          </cell>
          <cell r="C1320" t="str">
            <v>42794TANZANIA, UNITED REPUBLIC OF</v>
          </cell>
          <cell r="D1320" t="str">
            <v>TZS</v>
          </cell>
          <cell r="E1320">
            <v>7.2943624978498303</v>
          </cell>
          <cell r="F1320">
            <v>5</v>
          </cell>
          <cell r="G1320" t="str">
            <v>TANZANIA, UNITED REPUBLIC OF</v>
          </cell>
          <cell r="H1320">
            <v>6</v>
          </cell>
        </row>
        <row r="1321">
          <cell r="B1321" t="str">
            <v>42794THB</v>
          </cell>
          <cell r="C1321" t="str">
            <v>42794THAILAND</v>
          </cell>
          <cell r="D1321" t="str">
            <v>THB</v>
          </cell>
          <cell r="E1321">
            <v>3.8511922752788621</v>
          </cell>
          <cell r="F1321">
            <v>1.6403089</v>
          </cell>
          <cell r="G1321" t="str">
            <v>THAILAND</v>
          </cell>
          <cell r="H1321">
            <v>5</v>
          </cell>
        </row>
        <row r="1322">
          <cell r="B1322" t="str">
            <v>42794TRY</v>
          </cell>
          <cell r="C1322" t="str">
            <v>42794TURKEY</v>
          </cell>
          <cell r="D1322" t="str">
            <v>TRY</v>
          </cell>
          <cell r="E1322">
            <v>9.570318353270272</v>
          </cell>
          <cell r="F1322">
            <v>9.1861259999999998</v>
          </cell>
          <cell r="G1322" t="str">
            <v>TURKEY</v>
          </cell>
          <cell r="H1322">
            <v>5</v>
          </cell>
        </row>
        <row r="1323">
          <cell r="B1323" t="str">
            <v>42794TWD</v>
          </cell>
          <cell r="C1323" t="str">
            <v>42794TAIWAN</v>
          </cell>
          <cell r="D1323" t="str">
            <v>TWD</v>
          </cell>
          <cell r="E1323">
            <v>3.6096530623692926</v>
          </cell>
          <cell r="F1323">
            <v>1.4186068999999999</v>
          </cell>
          <cell r="G1323" t="str">
            <v>TAIWAN</v>
          </cell>
          <cell r="H1323">
            <v>5</v>
          </cell>
        </row>
        <row r="1324">
          <cell r="B1324" t="str">
            <v>42794UAH</v>
          </cell>
          <cell r="C1324" t="str">
            <v>42794UKRAINE</v>
          </cell>
          <cell r="D1324" t="str">
            <v>UAH</v>
          </cell>
          <cell r="E1324">
            <v>11.431802047705045</v>
          </cell>
          <cell r="F1324">
            <v>10.076445</v>
          </cell>
          <cell r="G1324" t="str">
            <v>UKRAINE</v>
          </cell>
          <cell r="H1324">
            <v>6</v>
          </cell>
        </row>
        <row r="1325">
          <cell r="B1325" t="str">
            <v>42794USD</v>
          </cell>
          <cell r="C1325" t="str">
            <v>42794UNITED STATES</v>
          </cell>
          <cell r="D1325" t="str">
            <v>USD</v>
          </cell>
          <cell r="E1325">
            <v>4.4638459635544949</v>
          </cell>
          <cell r="F1325">
            <v>2.4393850000000001</v>
          </cell>
          <cell r="G1325" t="str">
            <v>UNITED STATES</v>
          </cell>
          <cell r="H1325">
            <v>4</v>
          </cell>
        </row>
        <row r="1326">
          <cell r="B1326" t="str">
            <v>42794VND</v>
          </cell>
          <cell r="C1326" t="str">
            <v>42794VIET NAM</v>
          </cell>
          <cell r="D1326" t="str">
            <v>VND</v>
          </cell>
          <cell r="E1326">
            <v>5.7670905408208331</v>
          </cell>
          <cell r="F1326">
            <v>4.2361145000000002</v>
          </cell>
          <cell r="G1326" t="str">
            <v>VIET NAM</v>
          </cell>
          <cell r="H1326">
            <v>6</v>
          </cell>
        </row>
        <row r="1327">
          <cell r="B1327" t="str">
            <v>42794XOF</v>
          </cell>
          <cell r="C1327" t="str">
            <v>42794MALI</v>
          </cell>
          <cell r="D1327" t="str">
            <v>XOF</v>
          </cell>
          <cell r="E1327">
            <v>3.9239245524888036</v>
          </cell>
          <cell r="G1327" t="str">
            <v>MALI</v>
          </cell>
          <cell r="H1327">
            <v>6</v>
          </cell>
        </row>
        <row r="1328">
          <cell r="B1328" t="str">
            <v>42794ZAR</v>
          </cell>
          <cell r="C1328" t="str">
            <v>42794SOUTH AFRICA</v>
          </cell>
          <cell r="D1328" t="str">
            <v>ZAR</v>
          </cell>
          <cell r="E1328">
            <v>8.0381491428311662</v>
          </cell>
          <cell r="F1328">
            <v>5.7184869999999997</v>
          </cell>
          <cell r="G1328" t="str">
            <v>SOUTH AFRICA</v>
          </cell>
          <cell r="H1328">
            <v>5</v>
          </cell>
        </row>
        <row r="1329">
          <cell r="B1329" t="str">
            <v>42794ZMW</v>
          </cell>
          <cell r="C1329" t="str">
            <v>42794ZAMBIA</v>
          </cell>
          <cell r="D1329" t="str">
            <v>ZMW</v>
          </cell>
          <cell r="E1329">
            <v>11.713800571851412</v>
          </cell>
          <cell r="G1329" t="str">
            <v>ZAMBIA</v>
          </cell>
          <cell r="H1329">
            <v>6</v>
          </cell>
        </row>
        <row r="1330">
          <cell r="B1330" t="str">
            <v>42794EUR1</v>
          </cell>
          <cell r="C1330" t="str">
            <v>42794BELGIUM</v>
          </cell>
          <cell r="D1330" t="str">
            <v>EUR1</v>
          </cell>
          <cell r="E1330">
            <v>3.3851593640542612</v>
          </cell>
          <cell r="G1330" t="str">
            <v>BELGIUM</v>
          </cell>
          <cell r="H1330">
            <v>4</v>
          </cell>
        </row>
        <row r="1331">
          <cell r="B1331" t="str">
            <v>42794EUR2</v>
          </cell>
          <cell r="C1331" t="str">
            <v>42794CYPRUS</v>
          </cell>
          <cell r="D1331" t="str">
            <v>EUR2</v>
          </cell>
          <cell r="E1331">
            <v>3.3851593640542612</v>
          </cell>
          <cell r="G1331" t="str">
            <v>CYPRUS</v>
          </cell>
          <cell r="H1331">
            <v>5</v>
          </cell>
        </row>
        <row r="1332">
          <cell r="B1332" t="str">
            <v>42794EUR3</v>
          </cell>
          <cell r="C1332" t="str">
            <v>42794ESTONIA</v>
          </cell>
          <cell r="D1332" t="str">
            <v>EUR3</v>
          </cell>
          <cell r="E1332">
            <v>3.3851593640542612</v>
          </cell>
          <cell r="G1332" t="str">
            <v>ESTONIA</v>
          </cell>
          <cell r="H1332">
            <v>6</v>
          </cell>
        </row>
        <row r="1333">
          <cell r="B1333" t="str">
            <v>42794EUR4</v>
          </cell>
          <cell r="C1333" t="str">
            <v>42794FINLAND</v>
          </cell>
          <cell r="D1333" t="str">
            <v>EUR4</v>
          </cell>
          <cell r="E1333">
            <v>3.3851593640542612</v>
          </cell>
          <cell r="G1333" t="str">
            <v>FINLAND</v>
          </cell>
          <cell r="H1333">
            <v>4</v>
          </cell>
        </row>
        <row r="1334">
          <cell r="B1334" t="str">
            <v>42794EUR5</v>
          </cell>
          <cell r="C1334" t="str">
            <v>42794FRANCE</v>
          </cell>
          <cell r="D1334" t="str">
            <v>EUR5</v>
          </cell>
          <cell r="E1334">
            <v>3.3851593640542612</v>
          </cell>
          <cell r="G1334" t="str">
            <v>FRANCE</v>
          </cell>
          <cell r="H1334">
            <v>4</v>
          </cell>
        </row>
        <row r="1335">
          <cell r="B1335" t="str">
            <v>42794EUR6</v>
          </cell>
          <cell r="C1335" t="str">
            <v>42794GERMANY</v>
          </cell>
          <cell r="D1335" t="str">
            <v>EUR6</v>
          </cell>
          <cell r="E1335">
            <v>3.3851593640542612</v>
          </cell>
          <cell r="G1335" t="str">
            <v>GERMANY</v>
          </cell>
          <cell r="H1335">
            <v>4.321382367794798</v>
          </cell>
        </row>
        <row r="1336">
          <cell r="B1336" t="str">
            <v>42794EUR7</v>
          </cell>
          <cell r="C1336" t="str">
            <v>42794GREECE</v>
          </cell>
          <cell r="D1336" t="str">
            <v>EUR7</v>
          </cell>
          <cell r="E1336">
            <v>3.3851593640542612</v>
          </cell>
          <cell r="G1336" t="str">
            <v>GREECE</v>
          </cell>
          <cell r="H1336">
            <v>10</v>
          </cell>
        </row>
        <row r="1337">
          <cell r="B1337" t="str">
            <v>42794EUR8</v>
          </cell>
          <cell r="C1337" t="str">
            <v>42794IRELAND</v>
          </cell>
          <cell r="D1337" t="str">
            <v>EUR8</v>
          </cell>
          <cell r="E1337">
            <v>3.3851593640542612</v>
          </cell>
          <cell r="G1337" t="str">
            <v>IRELAND</v>
          </cell>
          <cell r="H1337">
            <v>4</v>
          </cell>
        </row>
        <row r="1338">
          <cell r="B1338" t="str">
            <v>42794EUR9</v>
          </cell>
          <cell r="C1338" t="str">
            <v>42794ITALY</v>
          </cell>
          <cell r="D1338" t="str">
            <v>EUR9</v>
          </cell>
          <cell r="E1338">
            <v>3.3851593640542612</v>
          </cell>
          <cell r="G1338" t="str">
            <v>ITALY</v>
          </cell>
          <cell r="H1338">
            <v>4</v>
          </cell>
        </row>
        <row r="1339">
          <cell r="B1339" t="str">
            <v>42794EUR10</v>
          </cell>
          <cell r="C1339" t="str">
            <v>42794LATVIA</v>
          </cell>
          <cell r="D1339" t="str">
            <v>EUR10</v>
          </cell>
          <cell r="E1339">
            <v>3.3851593640542612</v>
          </cell>
          <cell r="G1339" t="str">
            <v>LATVIA</v>
          </cell>
          <cell r="H1339">
            <v>6</v>
          </cell>
        </row>
        <row r="1340">
          <cell r="B1340" t="str">
            <v>42794EUR11</v>
          </cell>
          <cell r="C1340" t="str">
            <v>42794LUXEMBOURG</v>
          </cell>
          <cell r="D1340" t="str">
            <v>EUR11</v>
          </cell>
          <cell r="E1340">
            <v>3.3851593640542612</v>
          </cell>
          <cell r="G1340" t="str">
            <v>LUXEMBOURG</v>
          </cell>
          <cell r="H1340">
            <v>4</v>
          </cell>
        </row>
        <row r="1341">
          <cell r="B1341" t="str">
            <v>42794EUR12</v>
          </cell>
          <cell r="C1341" t="str">
            <v>42794MALTA</v>
          </cell>
          <cell r="D1341" t="str">
            <v>EUR12</v>
          </cell>
          <cell r="E1341">
            <v>3.3851593640542612</v>
          </cell>
          <cell r="G1341" t="str">
            <v>MALTA</v>
          </cell>
          <cell r="H1341">
            <v>4</v>
          </cell>
        </row>
        <row r="1342">
          <cell r="B1342" t="str">
            <v>42794EUR13</v>
          </cell>
          <cell r="C1342" t="str">
            <v>42794MONTENEGRO</v>
          </cell>
          <cell r="D1342" t="str">
            <v>EUR13</v>
          </cell>
          <cell r="E1342">
            <v>3.3851593640542612</v>
          </cell>
          <cell r="G1342" t="str">
            <v>MONTENEGRO</v>
          </cell>
          <cell r="H1342">
            <v>6</v>
          </cell>
        </row>
        <row r="1343">
          <cell r="B1343" t="str">
            <v>42794EUR14</v>
          </cell>
          <cell r="C1343" t="str">
            <v>42794NETHERLANDS</v>
          </cell>
          <cell r="D1343" t="str">
            <v>EUR14</v>
          </cell>
          <cell r="E1343">
            <v>3.3851593640542612</v>
          </cell>
          <cell r="G1343" t="str">
            <v>NETHERLANDS</v>
          </cell>
          <cell r="H1343">
            <v>4</v>
          </cell>
        </row>
        <row r="1344">
          <cell r="B1344" t="str">
            <v>42794EUR15</v>
          </cell>
          <cell r="C1344" t="str">
            <v>42794PORTUGAL</v>
          </cell>
          <cell r="D1344" t="str">
            <v>EUR15</v>
          </cell>
          <cell r="E1344">
            <v>3.3851593640542612</v>
          </cell>
          <cell r="G1344" t="str">
            <v>PORTUGAL</v>
          </cell>
          <cell r="H1344">
            <v>4</v>
          </cell>
        </row>
        <row r="1345">
          <cell r="B1345" t="str">
            <v>42794EUR16</v>
          </cell>
          <cell r="C1345" t="str">
            <v>42794SLOVAKIA</v>
          </cell>
          <cell r="D1345" t="str">
            <v>EUR16</v>
          </cell>
          <cell r="E1345">
            <v>3.3851593640542612</v>
          </cell>
          <cell r="G1345" t="str">
            <v>SLOVAKIA</v>
          </cell>
          <cell r="H1345">
            <v>5</v>
          </cell>
        </row>
        <row r="1346">
          <cell r="B1346" t="str">
            <v>42794EUR17</v>
          </cell>
          <cell r="C1346" t="str">
            <v>42794SLOVENIA</v>
          </cell>
          <cell r="D1346" t="str">
            <v>EUR17</v>
          </cell>
          <cell r="E1346">
            <v>3.3851593640542612</v>
          </cell>
          <cell r="G1346" t="str">
            <v>SLOVENIA</v>
          </cell>
          <cell r="H1346">
            <v>6</v>
          </cell>
        </row>
        <row r="1347">
          <cell r="B1347" t="str">
            <v>42794EUR18</v>
          </cell>
          <cell r="C1347" t="str">
            <v>42794SPAIN</v>
          </cell>
          <cell r="D1347" t="str">
            <v>EUR18</v>
          </cell>
          <cell r="E1347">
            <v>3.3851593640542612</v>
          </cell>
          <cell r="G1347" t="str">
            <v>SPAIN</v>
          </cell>
          <cell r="H1347">
            <v>4</v>
          </cell>
        </row>
        <row r="1348">
          <cell r="B1348" t="str">
            <v>42794Eastern European Institutions</v>
          </cell>
          <cell r="C1348" t="str">
            <v>42794Eastern European Institutions</v>
          </cell>
          <cell r="D1348" t="str">
            <v>Eastern European Institutions</v>
          </cell>
          <cell r="E1348">
            <v>2.25</v>
          </cell>
          <cell r="G1348" t="str">
            <v>Eastern European Institutions</v>
          </cell>
          <cell r="H1348">
            <v>5</v>
          </cell>
        </row>
        <row r="1349">
          <cell r="B1349" t="str">
            <v>42825AED</v>
          </cell>
          <cell r="C1349" t="str">
            <v>42825U. A. E.</v>
          </cell>
          <cell r="D1349" t="str">
            <v>AED</v>
          </cell>
          <cell r="E1349">
            <v>5.5838658449017178</v>
          </cell>
          <cell r="F1349">
            <v>2.4397674</v>
          </cell>
          <cell r="G1349" t="str">
            <v>U. A. E.</v>
          </cell>
          <cell r="H1349">
            <v>5</v>
          </cell>
        </row>
        <row r="1350">
          <cell r="B1350" t="str">
            <v>42825ARS</v>
          </cell>
          <cell r="C1350" t="str">
            <v>42825ARGENTINA</v>
          </cell>
          <cell r="D1350" t="str">
            <v>ARS</v>
          </cell>
          <cell r="E1350">
            <v>20.914891568350427</v>
          </cell>
          <cell r="F1350">
            <v>19.276754</v>
          </cell>
          <cell r="G1350" t="str">
            <v>ARGENTINA</v>
          </cell>
          <cell r="H1350">
            <v>6</v>
          </cell>
        </row>
        <row r="1351">
          <cell r="B1351" t="str">
            <v>42825AUD</v>
          </cell>
          <cell r="C1351" t="str">
            <v>42825AUSTRALIA</v>
          </cell>
          <cell r="D1351" t="str">
            <v>AUD</v>
          </cell>
          <cell r="E1351">
            <v>4.4235669135777291</v>
          </cell>
          <cell r="F1351">
            <v>2.1598592000000001</v>
          </cell>
          <cell r="G1351" t="str">
            <v>AUSTRALIA</v>
          </cell>
          <cell r="H1351">
            <v>4</v>
          </cell>
        </row>
        <row r="1352">
          <cell r="B1352" t="str">
            <v>42825BDT</v>
          </cell>
          <cell r="C1352" t="str">
            <v>42825BANGLADESH</v>
          </cell>
          <cell r="D1352" t="str">
            <v>BDT</v>
          </cell>
          <cell r="E1352">
            <v>8.7282761424205138</v>
          </cell>
          <cell r="F1352">
            <v>5.7850510000000002</v>
          </cell>
          <cell r="G1352" t="str">
            <v>BANGLADESH</v>
          </cell>
          <cell r="H1352">
            <v>6</v>
          </cell>
        </row>
        <row r="1353">
          <cell r="B1353" t="str">
            <v>42825BRL</v>
          </cell>
          <cell r="C1353" t="str">
            <v>42825BRAZIL</v>
          </cell>
          <cell r="D1353" t="str">
            <v>BRL</v>
          </cell>
          <cell r="E1353">
            <v>7.8917448905228262</v>
          </cell>
          <cell r="F1353">
            <v>4.3241433999999996</v>
          </cell>
          <cell r="G1353" t="str">
            <v>BRAZIL</v>
          </cell>
          <cell r="H1353">
            <v>6</v>
          </cell>
        </row>
        <row r="1354">
          <cell r="B1354" t="str">
            <v>42825BWP</v>
          </cell>
          <cell r="C1354" t="str">
            <v>42825BOTSWANA</v>
          </cell>
          <cell r="D1354" t="str">
            <v>BWP</v>
          </cell>
          <cell r="E1354">
            <v>6.0491996276506734</v>
          </cell>
          <cell r="F1354">
            <v>3.5750000000000002</v>
          </cell>
          <cell r="G1354" t="str">
            <v>BOTSWANA</v>
          </cell>
          <cell r="H1354">
            <v>6</v>
          </cell>
        </row>
        <row r="1355">
          <cell r="B1355" t="str">
            <v>42825CAD</v>
          </cell>
          <cell r="C1355" t="str">
            <v>42825CANADA</v>
          </cell>
          <cell r="D1355" t="str">
            <v>CAD</v>
          </cell>
          <cell r="E1355">
            <v>4.2034582929771727</v>
          </cell>
          <cell r="F1355">
            <v>2.0878850999999998</v>
          </cell>
          <cell r="G1355" t="str">
            <v>CANADA</v>
          </cell>
          <cell r="H1355">
            <v>4</v>
          </cell>
        </row>
        <row r="1356">
          <cell r="B1356" t="str">
            <v>42825CHF</v>
          </cell>
          <cell r="C1356" t="str">
            <v>42825SWITZERLAND</v>
          </cell>
          <cell r="D1356" t="str">
            <v>CHF</v>
          </cell>
          <cell r="E1356">
            <v>2.6430719669002603</v>
          </cell>
          <cell r="F1356">
            <v>0.53623193999999996</v>
          </cell>
          <cell r="G1356" t="str">
            <v>SWITZERLAND</v>
          </cell>
          <cell r="H1356">
            <v>4</v>
          </cell>
        </row>
        <row r="1357">
          <cell r="B1357" t="str">
            <v>42825CLP</v>
          </cell>
          <cell r="C1357" t="str">
            <v>42825CHILE</v>
          </cell>
          <cell r="D1357" t="str">
            <v>CLP</v>
          </cell>
          <cell r="E1357">
            <v>5.4474953500336412</v>
          </cell>
          <cell r="F1357">
            <v>2.9896370999999999</v>
          </cell>
          <cell r="G1357" t="str">
            <v>CHILE</v>
          </cell>
          <cell r="H1357">
            <v>5</v>
          </cell>
        </row>
        <row r="1358">
          <cell r="B1358" t="str">
            <v>42825CNY</v>
          </cell>
          <cell r="C1358" t="str">
            <v>42825CHINA</v>
          </cell>
          <cell r="D1358" t="str">
            <v>CNY</v>
          </cell>
          <cell r="E1358">
            <v>4.7245247585930885</v>
          </cell>
          <cell r="F1358">
            <v>2.2775034999999999</v>
          </cell>
          <cell r="G1358" t="str">
            <v>CHINA</v>
          </cell>
          <cell r="H1358">
            <v>5</v>
          </cell>
        </row>
        <row r="1359">
          <cell r="B1359" t="str">
            <v>42825COP</v>
          </cell>
          <cell r="C1359" t="str">
            <v>42825COLOMBIA</v>
          </cell>
          <cell r="D1359" t="str">
            <v>COP</v>
          </cell>
          <cell r="E1359">
            <v>6.3999413746283853</v>
          </cell>
          <cell r="F1359">
            <v>4.090948</v>
          </cell>
          <cell r="G1359" t="str">
            <v>COLOMBIA</v>
          </cell>
          <cell r="H1359">
            <v>5</v>
          </cell>
        </row>
        <row r="1360">
          <cell r="B1360" t="str">
            <v>42825CZK</v>
          </cell>
          <cell r="C1360" t="str">
            <v>42825CZECH REPUBLIC</v>
          </cell>
          <cell r="D1360" t="str">
            <v>CZK</v>
          </cell>
          <cell r="E1360">
            <v>3.9383105073900229</v>
          </cell>
          <cell r="F1360">
            <v>2.2356973</v>
          </cell>
          <cell r="G1360" t="str">
            <v>CZECH REPUBLIC</v>
          </cell>
          <cell r="H1360">
            <v>5</v>
          </cell>
        </row>
        <row r="1361">
          <cell r="B1361" t="str">
            <v>42825DKK</v>
          </cell>
          <cell r="C1361" t="str">
            <v>42825DENMARK</v>
          </cell>
          <cell r="D1361" t="str">
            <v>DKK</v>
          </cell>
          <cell r="E1361">
            <v>3.5884260318330732</v>
          </cell>
          <cell r="F1361">
            <v>1.2619658</v>
          </cell>
          <cell r="G1361" t="str">
            <v>DENMARK</v>
          </cell>
          <cell r="H1361">
            <v>4</v>
          </cell>
        </row>
        <row r="1362">
          <cell r="B1362" t="str">
            <v>42825EGP</v>
          </cell>
          <cell r="C1362" t="str">
            <v>42825EGYPT</v>
          </cell>
          <cell r="D1362" t="str">
            <v>EGP</v>
          </cell>
          <cell r="E1362">
            <v>13.824909055235549</v>
          </cell>
          <cell r="F1362">
            <v>18.217486999999998</v>
          </cell>
          <cell r="G1362" t="str">
            <v>EGYPT</v>
          </cell>
          <cell r="H1362">
            <v>5</v>
          </cell>
        </row>
        <row r="1363">
          <cell r="B1363" t="str">
            <v>42825EUR</v>
          </cell>
          <cell r="C1363" t="str">
            <v>42825AUSTRIA</v>
          </cell>
          <cell r="D1363" t="str">
            <v>EUR</v>
          </cell>
          <cell r="E1363">
            <v>3.3851593640542612</v>
          </cell>
          <cell r="F1363">
            <v>1.5969793999999999</v>
          </cell>
          <cell r="G1363" t="str">
            <v>AUSTRIA</v>
          </cell>
          <cell r="H1363">
            <v>4</v>
          </cell>
        </row>
        <row r="1364">
          <cell r="B1364" t="str">
            <v>42825GBP</v>
          </cell>
          <cell r="C1364" t="str">
            <v>42825UNITED KINGDOM</v>
          </cell>
          <cell r="D1364" t="str">
            <v>GBP</v>
          </cell>
          <cell r="E1364">
            <v>4.2176414689261845</v>
          </cell>
          <cell r="F1364">
            <v>2.606973</v>
          </cell>
          <cell r="G1364" t="str">
            <v>UNITED KINGDOM</v>
          </cell>
          <cell r="H1364">
            <v>4</v>
          </cell>
        </row>
        <row r="1365">
          <cell r="B1365" t="str">
            <v>42825GEL</v>
          </cell>
          <cell r="C1365" t="str">
            <v>42825GEORGIA</v>
          </cell>
          <cell r="D1365" t="str">
            <v>GEL</v>
          </cell>
          <cell r="E1365">
            <v>5.3921435735881076</v>
          </cell>
          <cell r="F1365">
            <v>3.5825</v>
          </cell>
          <cell r="G1365" t="str">
            <v>GEORGIA</v>
          </cell>
          <cell r="H1365">
            <v>6</v>
          </cell>
        </row>
        <row r="1366">
          <cell r="B1366" t="str">
            <v>42825HKD</v>
          </cell>
          <cell r="C1366" t="str">
            <v>42825HONG KONG</v>
          </cell>
          <cell r="D1366" t="str">
            <v>HKD</v>
          </cell>
          <cell r="E1366">
            <v>4.9499026289057593</v>
          </cell>
          <cell r="F1366">
            <v>2.4397674</v>
          </cell>
          <cell r="G1366" t="str">
            <v>HONG KONG</v>
          </cell>
          <cell r="H1366">
            <v>4</v>
          </cell>
        </row>
        <row r="1367">
          <cell r="B1367" t="str">
            <v>42825GHS</v>
          </cell>
          <cell r="C1367" t="str">
            <v>42825GHANA</v>
          </cell>
          <cell r="D1367" t="str">
            <v>GHS</v>
          </cell>
          <cell r="E1367">
            <v>11.370392090121431</v>
          </cell>
          <cell r="F1367">
            <v>9.2267499999999991</v>
          </cell>
          <cell r="G1367" t="str">
            <v>GHANA</v>
          </cell>
          <cell r="H1367">
            <v>6</v>
          </cell>
        </row>
        <row r="1368">
          <cell r="B1368" t="str">
            <v>42825HRK</v>
          </cell>
          <cell r="C1368" t="str">
            <v>42825CROATIA</v>
          </cell>
          <cell r="D1368" t="str">
            <v>HRK</v>
          </cell>
          <cell r="E1368">
            <v>3.3209506494321452</v>
          </cell>
          <cell r="F1368">
            <v>1.0035000000000001</v>
          </cell>
          <cell r="G1368" t="str">
            <v>CROATIA</v>
          </cell>
          <cell r="H1368">
            <v>6</v>
          </cell>
        </row>
        <row r="1369">
          <cell r="B1369" t="str">
            <v>42825HUF</v>
          </cell>
          <cell r="C1369" t="str">
            <v>42825HUNGARY</v>
          </cell>
          <cell r="D1369" t="str">
            <v>HUF</v>
          </cell>
          <cell r="E1369">
            <v>4.4253046746673999</v>
          </cell>
          <cell r="F1369">
            <v>2.6913323</v>
          </cell>
          <cell r="G1369" t="str">
            <v>HUNGARY</v>
          </cell>
          <cell r="H1369">
            <v>5</v>
          </cell>
        </row>
        <row r="1370">
          <cell r="B1370" t="str">
            <v>42825IDR</v>
          </cell>
          <cell r="C1370" t="str">
            <v>42825INDONESIA</v>
          </cell>
          <cell r="D1370" t="str">
            <v>IDR</v>
          </cell>
          <cell r="E1370">
            <v>6.3702882196320845</v>
          </cell>
          <cell r="F1370">
            <v>4.3428706999999998</v>
          </cell>
          <cell r="G1370" t="str">
            <v>INDONESIA</v>
          </cell>
          <cell r="H1370">
            <v>5</v>
          </cell>
        </row>
        <row r="1371">
          <cell r="B1371" t="str">
            <v>42825ILS</v>
          </cell>
          <cell r="C1371" t="str">
            <v>42825ISRAEL</v>
          </cell>
          <cell r="D1371" t="str">
            <v>ILS</v>
          </cell>
          <cell r="E1371">
            <v>3.4156539278355416</v>
          </cell>
          <cell r="F1371">
            <v>0.97527739999999996</v>
          </cell>
          <cell r="G1371" t="str">
            <v>ISRAEL</v>
          </cell>
          <cell r="H1371">
            <v>4</v>
          </cell>
        </row>
        <row r="1372">
          <cell r="B1372" t="str">
            <v>42825INR</v>
          </cell>
          <cell r="C1372" t="str">
            <v>42825INDIA</v>
          </cell>
          <cell r="D1372" t="str">
            <v>INR</v>
          </cell>
          <cell r="E1372">
            <v>7.4774887317642182</v>
          </cell>
          <cell r="F1372">
            <v>4.7414874999999999</v>
          </cell>
          <cell r="G1372" t="str">
            <v>INDIA</v>
          </cell>
          <cell r="H1372">
            <v>5</v>
          </cell>
        </row>
        <row r="1373">
          <cell r="B1373" t="str">
            <v>42825IQD</v>
          </cell>
          <cell r="C1373" t="str">
            <v>42825IRAQ</v>
          </cell>
          <cell r="D1373" t="str">
            <v>IQD</v>
          </cell>
          <cell r="E1373">
            <v>4.2500000000000018</v>
          </cell>
          <cell r="F1373">
            <v>2</v>
          </cell>
          <cell r="G1373" t="str">
            <v>IRAQ</v>
          </cell>
          <cell r="H1373">
            <v>6</v>
          </cell>
        </row>
        <row r="1374">
          <cell r="B1374" t="str">
            <v>42825JPY</v>
          </cell>
          <cell r="C1374" t="str">
            <v>42825JAPAN</v>
          </cell>
          <cell r="D1374" t="str">
            <v>JPY</v>
          </cell>
          <cell r="E1374">
            <v>2.9897897786433516</v>
          </cell>
          <cell r="F1374">
            <v>0.78236879999999998</v>
          </cell>
          <cell r="G1374" t="str">
            <v>JAPAN</v>
          </cell>
          <cell r="H1374">
            <v>4</v>
          </cell>
        </row>
        <row r="1375">
          <cell r="B1375" t="str">
            <v>42825KES</v>
          </cell>
          <cell r="C1375" t="str">
            <v>42825KENYA</v>
          </cell>
          <cell r="D1375" t="str">
            <v>KES</v>
          </cell>
          <cell r="E1375">
            <v>7.6084926403903221</v>
          </cell>
          <cell r="F1375">
            <v>5.4159999999999995</v>
          </cell>
          <cell r="G1375" t="str">
            <v>KENYA</v>
          </cell>
          <cell r="H1375">
            <v>7.5</v>
          </cell>
        </row>
        <row r="1376">
          <cell r="B1376" t="str">
            <v>42825KHR</v>
          </cell>
          <cell r="C1376" t="str">
            <v>42825CAMBODIA</v>
          </cell>
          <cell r="D1376" t="str">
            <v>KHR</v>
          </cell>
          <cell r="E1376">
            <v>5.2316942649170119</v>
          </cell>
          <cell r="F1376">
            <v>2.806</v>
          </cell>
          <cell r="G1376" t="str">
            <v>CAMBODIA</v>
          </cell>
          <cell r="H1376">
            <v>6</v>
          </cell>
        </row>
        <row r="1377">
          <cell r="B1377" t="str">
            <v>42825KRW</v>
          </cell>
          <cell r="C1377" t="str">
            <v>42825KOREA SOUTH(REPUBLIC OF KOREA)</v>
          </cell>
          <cell r="D1377" t="str">
            <v>KRW</v>
          </cell>
          <cell r="E1377">
            <v>4.0236839542202842</v>
          </cell>
          <cell r="F1377">
            <v>1.8166017999999999</v>
          </cell>
          <cell r="G1377" t="str">
            <v>KOREA SOUTH(REPUBLIC OF KOREA)</v>
          </cell>
          <cell r="H1377">
            <v>5</v>
          </cell>
        </row>
        <row r="1378">
          <cell r="B1378" t="str">
            <v>42825KWD</v>
          </cell>
          <cell r="C1378" t="str">
            <v>42825KUWAIT</v>
          </cell>
          <cell r="D1378" t="str">
            <v>KWD</v>
          </cell>
          <cell r="E1378">
            <v>5.8499227798076738</v>
          </cell>
          <cell r="F1378">
            <v>3.7499999999999996</v>
          </cell>
          <cell r="G1378" t="str">
            <v>KUWAIT</v>
          </cell>
          <cell r="H1378">
            <v>6</v>
          </cell>
        </row>
        <row r="1379">
          <cell r="B1379" t="str">
            <v>42825LKR</v>
          </cell>
          <cell r="C1379" t="str">
            <v>42825SRI LANKA</v>
          </cell>
          <cell r="D1379" t="str">
            <v>LKR</v>
          </cell>
          <cell r="E1379">
            <v>7.1465574110770849</v>
          </cell>
          <cell r="F1379">
            <v>4.7918662999999997</v>
          </cell>
          <cell r="G1379" t="str">
            <v>SRI LANKA</v>
          </cell>
          <cell r="H1379">
            <v>6</v>
          </cell>
        </row>
        <row r="1380">
          <cell r="B1380" t="str">
            <v>42825KZT</v>
          </cell>
          <cell r="C1380" t="str">
            <v>42825KAZAKHSTAN</v>
          </cell>
          <cell r="D1380" t="str">
            <v>KZT</v>
          </cell>
          <cell r="E1380">
            <v>11.702472282512669</v>
          </cell>
          <cell r="F1380">
            <v>9.1905000000000001</v>
          </cell>
          <cell r="G1380" t="str">
            <v>KAZAKHSTAN</v>
          </cell>
          <cell r="H1380">
            <v>6</v>
          </cell>
        </row>
        <row r="1381">
          <cell r="B1381" t="str">
            <v>42825MAD</v>
          </cell>
          <cell r="C1381" t="str">
            <v>42825MOROCCO</v>
          </cell>
          <cell r="D1381" t="str">
            <v>MAD</v>
          </cell>
          <cell r="E1381">
            <v>3.8494689282919916</v>
          </cell>
          <cell r="F1381">
            <v>1.325</v>
          </cell>
          <cell r="G1381" t="str">
            <v>MOROCCO</v>
          </cell>
          <cell r="H1381">
            <v>6</v>
          </cell>
        </row>
        <row r="1382">
          <cell r="B1382" t="str">
            <v>42825MXN</v>
          </cell>
          <cell r="C1382" t="str">
            <v>42825MEXICO</v>
          </cell>
          <cell r="D1382" t="str">
            <v>MXN</v>
          </cell>
          <cell r="E1382">
            <v>5.2830645078890717</v>
          </cell>
          <cell r="F1382">
            <v>4.9834886000000003</v>
          </cell>
          <cell r="G1382" t="str">
            <v>MEXICO</v>
          </cell>
          <cell r="H1382">
            <v>7</v>
          </cell>
        </row>
        <row r="1383">
          <cell r="B1383" t="str">
            <v>42825MYR</v>
          </cell>
          <cell r="C1383" t="str">
            <v>42825MALAYSIA</v>
          </cell>
          <cell r="D1383" t="str">
            <v>MYR</v>
          </cell>
          <cell r="E1383">
            <v>5.0482023837028525</v>
          </cell>
          <cell r="F1383">
            <v>3.12791</v>
          </cell>
          <cell r="G1383" t="str">
            <v>MALAYSIA</v>
          </cell>
          <cell r="H1383">
            <v>5</v>
          </cell>
        </row>
        <row r="1384">
          <cell r="B1384" t="str">
            <v>42825NGN</v>
          </cell>
          <cell r="C1384" t="str">
            <v>42825NIGERIA</v>
          </cell>
          <cell r="D1384" t="str">
            <v>NGN</v>
          </cell>
          <cell r="E1384">
            <v>17.846980104209756</v>
          </cell>
          <cell r="F1384">
            <v>14.0251</v>
          </cell>
          <cell r="G1384" t="str">
            <v>NIGERIA</v>
          </cell>
          <cell r="H1384">
            <v>8</v>
          </cell>
        </row>
        <row r="1385">
          <cell r="B1385" t="str">
            <v>42825NOK</v>
          </cell>
          <cell r="C1385" t="str">
            <v>42825NORWAY</v>
          </cell>
          <cell r="D1385" t="str">
            <v>NOK</v>
          </cell>
          <cell r="E1385">
            <v>4.8495333363926898</v>
          </cell>
          <cell r="F1385">
            <v>2.0484836</v>
          </cell>
          <cell r="G1385" t="str">
            <v>NORWAY</v>
          </cell>
          <cell r="H1385">
            <v>4</v>
          </cell>
        </row>
        <row r="1386">
          <cell r="B1386" t="str">
            <v>42825NZD</v>
          </cell>
          <cell r="C1386" t="str">
            <v>42825NEW ZEALAND</v>
          </cell>
          <cell r="D1386" t="str">
            <v>NZD</v>
          </cell>
          <cell r="E1386">
            <v>3.8954970060277851</v>
          </cell>
          <cell r="F1386">
            <v>1.7979655999999999</v>
          </cell>
          <cell r="G1386" t="str">
            <v>NEW ZEALAND</v>
          </cell>
          <cell r="H1386">
            <v>4.528069907549944</v>
          </cell>
        </row>
        <row r="1387">
          <cell r="B1387" t="str">
            <v>42825OMR</v>
          </cell>
          <cell r="C1387" t="str">
            <v>42825OMAN</v>
          </cell>
          <cell r="D1387" t="str">
            <v>OMR</v>
          </cell>
          <cell r="E1387">
            <v>4.7996173308366732</v>
          </cell>
          <cell r="F1387">
            <v>2.4397674</v>
          </cell>
          <cell r="G1387" t="str">
            <v>OMAN</v>
          </cell>
          <cell r="H1387">
            <v>6</v>
          </cell>
        </row>
        <row r="1388">
          <cell r="B1388" t="str">
            <v>42825PEN</v>
          </cell>
          <cell r="C1388" t="str">
            <v>42825PERU</v>
          </cell>
          <cell r="D1388" t="str">
            <v>PEN</v>
          </cell>
          <cell r="E1388">
            <v>4.9589292857872094</v>
          </cell>
          <cell r="F1388">
            <v>2.8299618</v>
          </cell>
          <cell r="G1388" t="str">
            <v>PERU</v>
          </cell>
          <cell r="H1388">
            <v>5</v>
          </cell>
        </row>
        <row r="1389">
          <cell r="B1389" t="str">
            <v>42825PHP</v>
          </cell>
          <cell r="C1389" t="str">
            <v>42825PHILIPPINES</v>
          </cell>
          <cell r="D1389" t="str">
            <v>PHP</v>
          </cell>
          <cell r="E1389">
            <v>5.4213923617381123</v>
          </cell>
          <cell r="F1389">
            <v>3.2414505</v>
          </cell>
          <cell r="G1389" t="str">
            <v>PHILIPPINES</v>
          </cell>
          <cell r="H1389">
            <v>5</v>
          </cell>
        </row>
        <row r="1390">
          <cell r="B1390" t="str">
            <v>42825PKR</v>
          </cell>
          <cell r="C1390" t="str">
            <v>42825PAKISTAN</v>
          </cell>
          <cell r="D1390" t="str">
            <v>PKR</v>
          </cell>
          <cell r="E1390">
            <v>6.8588829756929295</v>
          </cell>
          <cell r="F1390">
            <v>4.8000097000000004</v>
          </cell>
          <cell r="G1390" t="str">
            <v>PAKISTAN</v>
          </cell>
          <cell r="H1390">
            <v>6</v>
          </cell>
        </row>
        <row r="1391">
          <cell r="B1391" t="str">
            <v>42825PLN</v>
          </cell>
          <cell r="C1391" t="str">
            <v>42825POLAND</v>
          </cell>
          <cell r="D1391" t="str">
            <v>PLN</v>
          </cell>
          <cell r="E1391">
            <v>3.6694742112638048</v>
          </cell>
          <cell r="F1391">
            <v>1.9437161999999999</v>
          </cell>
          <cell r="G1391" t="str">
            <v>POLAND</v>
          </cell>
          <cell r="H1391">
            <v>5</v>
          </cell>
        </row>
        <row r="1392">
          <cell r="B1392" t="str">
            <v>42825QAR</v>
          </cell>
          <cell r="C1392" t="str">
            <v>42825QATAR</v>
          </cell>
          <cell r="D1392" t="str">
            <v>QAR</v>
          </cell>
          <cell r="E1392">
            <v>4.9229424636614318</v>
          </cell>
          <cell r="F1392">
            <v>2.4397674</v>
          </cell>
          <cell r="G1392" t="str">
            <v>QATAR</v>
          </cell>
          <cell r="H1392">
            <v>5</v>
          </cell>
        </row>
        <row r="1393">
          <cell r="B1393" t="str">
            <v>42825RON</v>
          </cell>
          <cell r="C1393" t="str">
            <v>42825ROMANIA</v>
          </cell>
          <cell r="D1393" t="str">
            <v>RON</v>
          </cell>
          <cell r="E1393">
            <v>3.9515129985019861</v>
          </cell>
          <cell r="F1393">
            <v>1.7978259000000001</v>
          </cell>
          <cell r="G1393" t="str">
            <v>ROMANIA</v>
          </cell>
          <cell r="H1393">
            <v>6</v>
          </cell>
        </row>
        <row r="1394">
          <cell r="B1394" t="str">
            <v>42825RUB</v>
          </cell>
          <cell r="C1394" t="str">
            <v>42825RUSSIAN FEDERATION</v>
          </cell>
          <cell r="D1394" t="str">
            <v>RUB</v>
          </cell>
          <cell r="E1394">
            <v>7.1918878195997218</v>
          </cell>
          <cell r="F1394">
            <v>4.3665469999999997</v>
          </cell>
          <cell r="G1394" t="str">
            <v>RUSSIAN FEDERATION</v>
          </cell>
          <cell r="H1394">
            <v>5</v>
          </cell>
        </row>
        <row r="1395">
          <cell r="B1395" t="str">
            <v>42825SAR</v>
          </cell>
          <cell r="C1395" t="str">
            <v>42825SAUDI ARABIA</v>
          </cell>
          <cell r="D1395" t="str">
            <v>SAR</v>
          </cell>
          <cell r="E1395">
            <v>5.2006270130464474</v>
          </cell>
          <cell r="F1395">
            <v>2.4397674</v>
          </cell>
          <cell r="G1395" t="str">
            <v>SAUDI ARABIA</v>
          </cell>
          <cell r="H1395">
            <v>5</v>
          </cell>
        </row>
        <row r="1396">
          <cell r="B1396" t="str">
            <v>42825SEK</v>
          </cell>
          <cell r="C1396" t="str">
            <v>42825SWEDEN</v>
          </cell>
          <cell r="D1396" t="str">
            <v>SEK</v>
          </cell>
          <cell r="E1396">
            <v>3.9425293207783687</v>
          </cell>
          <cell r="F1396">
            <v>1.6644881</v>
          </cell>
          <cell r="G1396" t="str">
            <v>SWEDEN</v>
          </cell>
          <cell r="H1396">
            <v>4</v>
          </cell>
        </row>
        <row r="1397">
          <cell r="B1397" t="str">
            <v>42825SGD</v>
          </cell>
          <cell r="C1397" t="str">
            <v>42825SINGAPORE</v>
          </cell>
          <cell r="D1397" t="str">
            <v>SGD</v>
          </cell>
          <cell r="E1397">
            <v>3.5375869420093</v>
          </cell>
          <cell r="F1397">
            <v>1.0655266000000001</v>
          </cell>
          <cell r="G1397" t="str">
            <v>SINGAPORE</v>
          </cell>
          <cell r="H1397">
            <v>4</v>
          </cell>
        </row>
        <row r="1398">
          <cell r="B1398" t="str">
            <v>42825TZS</v>
          </cell>
          <cell r="C1398" t="str">
            <v>42825TANZANIA, UNITED REPUBLIC OF</v>
          </cell>
          <cell r="D1398" t="str">
            <v>TZS</v>
          </cell>
          <cell r="E1398">
            <v>7.2943624978498303</v>
          </cell>
          <cell r="F1398">
            <v>5</v>
          </cell>
          <cell r="G1398" t="str">
            <v>TANZANIA, UNITED REPUBLIC OF</v>
          </cell>
          <cell r="H1398">
            <v>6</v>
          </cell>
        </row>
        <row r="1399">
          <cell r="B1399" t="str">
            <v>42825THB</v>
          </cell>
          <cell r="C1399" t="str">
            <v>42825THAILAND</v>
          </cell>
          <cell r="D1399" t="str">
            <v>THB</v>
          </cell>
          <cell r="E1399">
            <v>3.8511922752788621</v>
          </cell>
          <cell r="F1399">
            <v>1.692642</v>
          </cell>
          <cell r="G1399" t="str">
            <v>THAILAND</v>
          </cell>
          <cell r="H1399">
            <v>5</v>
          </cell>
        </row>
        <row r="1400">
          <cell r="B1400" t="str">
            <v>42825TRY</v>
          </cell>
          <cell r="C1400" t="str">
            <v>42825TURKEY</v>
          </cell>
          <cell r="D1400" t="str">
            <v>TRY</v>
          </cell>
          <cell r="E1400">
            <v>9.570318353270272</v>
          </cell>
          <cell r="F1400">
            <v>9.3057320000000008</v>
          </cell>
          <cell r="G1400" t="str">
            <v>TURKEY</v>
          </cell>
          <cell r="H1400">
            <v>5</v>
          </cell>
        </row>
        <row r="1401">
          <cell r="B1401" t="str">
            <v>42825TWD</v>
          </cell>
          <cell r="C1401" t="str">
            <v>42825TAIWAN</v>
          </cell>
          <cell r="D1401" t="str">
            <v>TWD</v>
          </cell>
          <cell r="E1401">
            <v>3.6096530623692926</v>
          </cell>
          <cell r="F1401">
            <v>1.4581580000000001</v>
          </cell>
          <cell r="G1401" t="str">
            <v>TAIWAN</v>
          </cell>
          <cell r="H1401">
            <v>5</v>
          </cell>
        </row>
        <row r="1402">
          <cell r="B1402" t="str">
            <v>42825UAH</v>
          </cell>
          <cell r="C1402" t="str">
            <v>42825UKRAINE</v>
          </cell>
          <cell r="D1402" t="str">
            <v>UAH</v>
          </cell>
          <cell r="E1402">
            <v>11.431802047705045</v>
          </cell>
          <cell r="F1402">
            <v>10.550314999999999</v>
          </cell>
          <cell r="G1402" t="str">
            <v>UKRAINE</v>
          </cell>
          <cell r="H1402">
            <v>6</v>
          </cell>
        </row>
        <row r="1403">
          <cell r="B1403" t="str">
            <v>42825USD</v>
          </cell>
          <cell r="C1403" t="str">
            <v>42825UNITED STATES</v>
          </cell>
          <cell r="D1403" t="str">
            <v>USD</v>
          </cell>
          <cell r="E1403">
            <v>4.4638459635544949</v>
          </cell>
          <cell r="F1403">
            <v>2.4397674</v>
          </cell>
          <cell r="G1403" t="str">
            <v>UNITED STATES</v>
          </cell>
          <cell r="H1403">
            <v>4</v>
          </cell>
        </row>
        <row r="1404">
          <cell r="B1404" t="str">
            <v>42825VND</v>
          </cell>
          <cell r="C1404" t="str">
            <v>42825VIET NAM</v>
          </cell>
          <cell r="D1404" t="str">
            <v>VND</v>
          </cell>
          <cell r="E1404">
            <v>5.7670905408208331</v>
          </cell>
          <cell r="F1404">
            <v>4.4071382999999997</v>
          </cell>
          <cell r="G1404" t="str">
            <v>VIET NAM</v>
          </cell>
          <cell r="H1404">
            <v>6</v>
          </cell>
        </row>
        <row r="1405">
          <cell r="B1405" t="str">
            <v>42825XOF</v>
          </cell>
          <cell r="C1405" t="str">
            <v>42825MALI</v>
          </cell>
          <cell r="D1405" t="str">
            <v>XOF</v>
          </cell>
          <cell r="E1405">
            <v>3.9239245524888036</v>
          </cell>
          <cell r="G1405" t="str">
            <v>MALI</v>
          </cell>
          <cell r="H1405">
            <v>6</v>
          </cell>
        </row>
        <row r="1406">
          <cell r="B1406" t="str">
            <v>42825ZAR</v>
          </cell>
          <cell r="C1406" t="str">
            <v>42825SOUTH AFRICA</v>
          </cell>
          <cell r="D1406" t="str">
            <v>ZAR</v>
          </cell>
          <cell r="E1406">
            <v>8.0381491428311662</v>
          </cell>
          <cell r="F1406">
            <v>5.6425159999999996</v>
          </cell>
          <cell r="G1406" t="str">
            <v>SOUTH AFRICA</v>
          </cell>
          <cell r="H1406">
            <v>5</v>
          </cell>
        </row>
        <row r="1407">
          <cell r="B1407" t="str">
            <v>42825ZMW</v>
          </cell>
          <cell r="C1407" t="str">
            <v>42825ZAMBIA</v>
          </cell>
          <cell r="D1407" t="str">
            <v>ZMW</v>
          </cell>
          <cell r="E1407">
            <v>11.713800571851412</v>
          </cell>
          <cell r="G1407" t="str">
            <v>ZAMBIA</v>
          </cell>
          <cell r="H1407">
            <v>6</v>
          </cell>
        </row>
        <row r="1408">
          <cell r="B1408" t="str">
            <v>42825EUR1</v>
          </cell>
          <cell r="C1408" t="str">
            <v>42825BELGIUM</v>
          </cell>
          <cell r="D1408" t="str">
            <v>EUR1</v>
          </cell>
          <cell r="E1408">
            <v>3.3851593640542612</v>
          </cell>
          <cell r="G1408" t="str">
            <v>BELGIUM</v>
          </cell>
          <cell r="H1408">
            <v>4</v>
          </cell>
        </row>
        <row r="1409">
          <cell r="B1409" t="str">
            <v>42825EUR2</v>
          </cell>
          <cell r="C1409" t="str">
            <v>42825CYPRUS</v>
          </cell>
          <cell r="D1409" t="str">
            <v>EUR2</v>
          </cell>
          <cell r="E1409">
            <v>3.3851593640542612</v>
          </cell>
          <cell r="G1409" t="str">
            <v>CYPRUS</v>
          </cell>
          <cell r="H1409">
            <v>5</v>
          </cell>
        </row>
        <row r="1410">
          <cell r="B1410" t="str">
            <v>42825EUR3</v>
          </cell>
          <cell r="C1410" t="str">
            <v>42825ESTONIA</v>
          </cell>
          <cell r="D1410" t="str">
            <v>EUR3</v>
          </cell>
          <cell r="E1410">
            <v>3.3851593640542612</v>
          </cell>
          <cell r="G1410" t="str">
            <v>ESTONIA</v>
          </cell>
          <cell r="H1410">
            <v>6</v>
          </cell>
        </row>
        <row r="1411">
          <cell r="B1411" t="str">
            <v>42825EUR4</v>
          </cell>
          <cell r="C1411" t="str">
            <v>42825FINLAND</v>
          </cell>
          <cell r="D1411" t="str">
            <v>EUR4</v>
          </cell>
          <cell r="E1411">
            <v>3.3851593640542612</v>
          </cell>
          <cell r="G1411" t="str">
            <v>FINLAND</v>
          </cell>
          <cell r="H1411">
            <v>4</v>
          </cell>
        </row>
        <row r="1412">
          <cell r="B1412" t="str">
            <v>42825EUR5</v>
          </cell>
          <cell r="C1412" t="str">
            <v>42825FRANCE</v>
          </cell>
          <cell r="D1412" t="str">
            <v>EUR5</v>
          </cell>
          <cell r="E1412">
            <v>3.3851593640542612</v>
          </cell>
          <cell r="G1412" t="str">
            <v>FRANCE</v>
          </cell>
          <cell r="H1412">
            <v>4</v>
          </cell>
        </row>
        <row r="1413">
          <cell r="B1413" t="str">
            <v>42825EUR6</v>
          </cell>
          <cell r="C1413" t="str">
            <v>42825GERMANY</v>
          </cell>
          <cell r="D1413" t="str">
            <v>EUR6</v>
          </cell>
          <cell r="E1413">
            <v>3.3851593640542612</v>
          </cell>
          <cell r="G1413" t="str">
            <v>GERMANY</v>
          </cell>
          <cell r="H1413">
            <v>4.321382367794798</v>
          </cell>
        </row>
        <row r="1414">
          <cell r="B1414" t="str">
            <v>42825EUR7</v>
          </cell>
          <cell r="C1414" t="str">
            <v>42825GREECE</v>
          </cell>
          <cell r="D1414" t="str">
            <v>EUR7</v>
          </cell>
          <cell r="E1414">
            <v>3.3851593640542612</v>
          </cell>
          <cell r="G1414" t="str">
            <v>GREECE</v>
          </cell>
          <cell r="H1414">
            <v>10</v>
          </cell>
        </row>
        <row r="1415">
          <cell r="B1415" t="str">
            <v>42825EUR8</v>
          </cell>
          <cell r="C1415" t="str">
            <v>42825IRELAND</v>
          </cell>
          <cell r="D1415" t="str">
            <v>EUR8</v>
          </cell>
          <cell r="E1415">
            <v>3.3851593640542612</v>
          </cell>
          <cell r="G1415" t="str">
            <v>IRELAND</v>
          </cell>
          <cell r="H1415">
            <v>4</v>
          </cell>
        </row>
        <row r="1416">
          <cell r="B1416" t="str">
            <v>42825EUR9</v>
          </cell>
          <cell r="C1416" t="str">
            <v>42825ITALY</v>
          </cell>
          <cell r="D1416" t="str">
            <v>EUR9</v>
          </cell>
          <cell r="E1416">
            <v>3.3851593640542612</v>
          </cell>
          <cell r="G1416" t="str">
            <v>ITALY</v>
          </cell>
          <cell r="H1416">
            <v>4</v>
          </cell>
        </row>
        <row r="1417">
          <cell r="B1417" t="str">
            <v>42825EUR10</v>
          </cell>
          <cell r="C1417" t="str">
            <v>42825LATVIA</v>
          </cell>
          <cell r="D1417" t="str">
            <v>EUR10</v>
          </cell>
          <cell r="E1417">
            <v>3.3851593640542612</v>
          </cell>
          <cell r="G1417" t="str">
            <v>LATVIA</v>
          </cell>
          <cell r="H1417">
            <v>6</v>
          </cell>
        </row>
        <row r="1418">
          <cell r="B1418" t="str">
            <v>42825EUR11</v>
          </cell>
          <cell r="C1418" t="str">
            <v>42825LUXEMBOURG</v>
          </cell>
          <cell r="D1418" t="str">
            <v>EUR11</v>
          </cell>
          <cell r="E1418">
            <v>3.3851593640542612</v>
          </cell>
          <cell r="G1418" t="str">
            <v>LUXEMBOURG</v>
          </cell>
          <cell r="H1418">
            <v>4</v>
          </cell>
        </row>
        <row r="1419">
          <cell r="B1419" t="str">
            <v>42825EUR12</v>
          </cell>
          <cell r="C1419" t="str">
            <v>42825MALTA</v>
          </cell>
          <cell r="D1419" t="str">
            <v>EUR12</v>
          </cell>
          <cell r="E1419">
            <v>3.3851593640542612</v>
          </cell>
          <cell r="G1419" t="str">
            <v>MALTA</v>
          </cell>
          <cell r="H1419">
            <v>4</v>
          </cell>
        </row>
        <row r="1420">
          <cell r="B1420" t="str">
            <v>42825EUR13</v>
          </cell>
          <cell r="C1420" t="str">
            <v>42825MONTENEGRO</v>
          </cell>
          <cell r="D1420" t="str">
            <v>EUR13</v>
          </cell>
          <cell r="E1420">
            <v>3.3851593640542612</v>
          </cell>
          <cell r="G1420" t="str">
            <v>MONTENEGRO</v>
          </cell>
          <cell r="H1420">
            <v>6</v>
          </cell>
        </row>
        <row r="1421">
          <cell r="B1421" t="str">
            <v>42825EUR14</v>
          </cell>
          <cell r="C1421" t="str">
            <v>42825NETHERLANDS</v>
          </cell>
          <cell r="D1421" t="str">
            <v>EUR14</v>
          </cell>
          <cell r="E1421">
            <v>3.3851593640542612</v>
          </cell>
          <cell r="G1421" t="str">
            <v>NETHERLANDS</v>
          </cell>
          <cell r="H1421">
            <v>4</v>
          </cell>
        </row>
        <row r="1422">
          <cell r="B1422" t="str">
            <v>42825EUR15</v>
          </cell>
          <cell r="C1422" t="str">
            <v>42825PORTUGAL</v>
          </cell>
          <cell r="D1422" t="str">
            <v>EUR15</v>
          </cell>
          <cell r="E1422">
            <v>3.3851593640542612</v>
          </cell>
          <cell r="G1422" t="str">
            <v>PORTUGAL</v>
          </cell>
          <cell r="H1422">
            <v>4</v>
          </cell>
        </row>
        <row r="1423">
          <cell r="B1423" t="str">
            <v>42825EUR16</v>
          </cell>
          <cell r="C1423" t="str">
            <v>42825SLOVAKIA</v>
          </cell>
          <cell r="D1423" t="str">
            <v>EUR16</v>
          </cell>
          <cell r="E1423">
            <v>3.3851593640542612</v>
          </cell>
          <cell r="G1423" t="str">
            <v>SLOVAKIA</v>
          </cell>
          <cell r="H1423">
            <v>5</v>
          </cell>
        </row>
        <row r="1424">
          <cell r="B1424" t="str">
            <v>42825EUR17</v>
          </cell>
          <cell r="C1424" t="str">
            <v>42825SLOVENIA</v>
          </cell>
          <cell r="D1424" t="str">
            <v>EUR17</v>
          </cell>
          <cell r="E1424">
            <v>3.3851593640542612</v>
          </cell>
          <cell r="G1424" t="str">
            <v>SLOVENIA</v>
          </cell>
          <cell r="H1424">
            <v>6</v>
          </cell>
        </row>
        <row r="1425">
          <cell r="B1425" t="str">
            <v>42825EUR18</v>
          </cell>
          <cell r="C1425" t="str">
            <v>42825SPAIN</v>
          </cell>
          <cell r="D1425" t="str">
            <v>EUR18</v>
          </cell>
          <cell r="E1425">
            <v>3.3851593640542612</v>
          </cell>
          <cell r="G1425" t="str">
            <v>SPAIN</v>
          </cell>
          <cell r="H1425">
            <v>4</v>
          </cell>
        </row>
        <row r="1426">
          <cell r="B1426" t="str">
            <v>42825Eastern European Institutions</v>
          </cell>
          <cell r="C1426" t="str">
            <v>42825Eastern European Institutions</v>
          </cell>
          <cell r="D1426" t="str">
            <v>Eastern European Institutions</v>
          </cell>
          <cell r="E1426">
            <v>2.25</v>
          </cell>
          <cell r="G1426" t="str">
            <v>Eastern European Institutions</v>
          </cell>
          <cell r="H1426">
            <v>5</v>
          </cell>
        </row>
        <row r="1427">
          <cell r="B1427" t="str">
            <v>42855AED</v>
          </cell>
          <cell r="C1427" t="str">
            <v>42855U. A. E.</v>
          </cell>
          <cell r="D1427" t="str">
            <v>AED</v>
          </cell>
          <cell r="E1427">
            <v>5.1093809387827518</v>
          </cell>
          <cell r="F1427">
            <v>2.4397674</v>
          </cell>
          <cell r="G1427" t="str">
            <v>U. A. E.</v>
          </cell>
          <cell r="H1427">
            <v>5</v>
          </cell>
        </row>
        <row r="1428">
          <cell r="B1428" t="str">
            <v>42855ARS</v>
          </cell>
          <cell r="C1428" t="str">
            <v>42855ARGENTINA</v>
          </cell>
          <cell r="D1428" t="str">
            <v>ARS</v>
          </cell>
          <cell r="E1428">
            <v>18.287264117894303</v>
          </cell>
          <cell r="F1428">
            <v>19.276754</v>
          </cell>
          <cell r="G1428" t="str">
            <v>ARGENTINA</v>
          </cell>
          <cell r="H1428">
            <v>6</v>
          </cell>
        </row>
        <row r="1429">
          <cell r="B1429" t="str">
            <v>42855AUD</v>
          </cell>
          <cell r="C1429" t="str">
            <v>42855AUSTRALIA</v>
          </cell>
          <cell r="D1429" t="str">
            <v>AUD</v>
          </cell>
          <cell r="E1429">
            <v>4.6413792060740846</v>
          </cell>
          <cell r="F1429">
            <v>2.1598592000000001</v>
          </cell>
          <cell r="G1429" t="str">
            <v>AUSTRALIA</v>
          </cell>
          <cell r="H1429">
            <v>3.9085235175508517</v>
          </cell>
        </row>
        <row r="1430">
          <cell r="B1430" t="str">
            <v>42855BDT</v>
          </cell>
          <cell r="C1430" t="str">
            <v>42855BANGLADESH</v>
          </cell>
          <cell r="D1430" t="str">
            <v>BDT</v>
          </cell>
          <cell r="E1430">
            <v>8.0367423316922952</v>
          </cell>
          <cell r="F1430">
            <v>5.7850510000000002</v>
          </cell>
          <cell r="G1430" t="str">
            <v>BANGLADESH</v>
          </cell>
          <cell r="H1430">
            <v>6</v>
          </cell>
        </row>
        <row r="1431">
          <cell r="B1431" t="str">
            <v>42855BRL</v>
          </cell>
          <cell r="C1431" t="str">
            <v>42855BRAZIL</v>
          </cell>
          <cell r="D1431" t="str">
            <v>BRL</v>
          </cell>
          <cell r="E1431">
            <v>6.6767729719631221</v>
          </cell>
          <cell r="F1431">
            <v>4.3241433999999996</v>
          </cell>
          <cell r="G1431" t="str">
            <v>BRAZIL</v>
          </cell>
          <cell r="H1431">
            <v>7</v>
          </cell>
        </row>
        <row r="1432">
          <cell r="B1432" t="str">
            <v>42855BWP</v>
          </cell>
          <cell r="C1432" t="str">
            <v>42855BOTSWANA</v>
          </cell>
          <cell r="D1432" t="str">
            <v>BWP</v>
          </cell>
          <cell r="E1432">
            <v>6.6586193958538633</v>
          </cell>
          <cell r="F1432">
            <v>3.7</v>
          </cell>
          <cell r="G1432" t="str">
            <v>BOTSWANA</v>
          </cell>
          <cell r="H1432">
            <v>6</v>
          </cell>
        </row>
        <row r="1433">
          <cell r="B1433" t="str">
            <v>42855CAD</v>
          </cell>
          <cell r="C1433" t="str">
            <v>42855CANADA</v>
          </cell>
          <cell r="D1433" t="str">
            <v>CAD</v>
          </cell>
          <cell r="E1433">
            <v>4.2779891198976996</v>
          </cell>
          <cell r="F1433">
            <v>2.0878850999999998</v>
          </cell>
          <cell r="G1433" t="str">
            <v>CANADA</v>
          </cell>
          <cell r="H1433">
            <v>4</v>
          </cell>
        </row>
        <row r="1434">
          <cell r="B1434" t="str">
            <v>42855CHF</v>
          </cell>
          <cell r="C1434" t="str">
            <v>42855SWITZERLAND</v>
          </cell>
          <cell r="D1434" t="str">
            <v>CHF</v>
          </cell>
          <cell r="E1434">
            <v>3.0183997689212907</v>
          </cell>
          <cell r="F1434">
            <v>0.53623193999999996</v>
          </cell>
          <cell r="G1434" t="str">
            <v>SWITZERLAND</v>
          </cell>
          <cell r="H1434">
            <v>4</v>
          </cell>
        </row>
        <row r="1435">
          <cell r="B1435" t="str">
            <v>42855CLP</v>
          </cell>
          <cell r="C1435" t="str">
            <v>42855CHILE</v>
          </cell>
          <cell r="D1435" t="str">
            <v>CLP</v>
          </cell>
          <cell r="E1435">
            <v>5.2175634155198249</v>
          </cell>
          <cell r="F1435">
            <v>2.9896370999999999</v>
          </cell>
          <cell r="G1435" t="str">
            <v>CHILE</v>
          </cell>
          <cell r="H1435">
            <v>5</v>
          </cell>
        </row>
        <row r="1436">
          <cell r="B1436" t="str">
            <v>42855CNY</v>
          </cell>
          <cell r="C1436" t="str">
            <v>42855CHINA</v>
          </cell>
          <cell r="D1436" t="str">
            <v>CNY</v>
          </cell>
          <cell r="E1436">
            <v>4.9095792816651809</v>
          </cell>
          <cell r="F1436">
            <v>2.2775034999999999</v>
          </cell>
          <cell r="G1436" t="str">
            <v>CHINA</v>
          </cell>
          <cell r="H1436">
            <v>5</v>
          </cell>
        </row>
        <row r="1437">
          <cell r="B1437" t="str">
            <v>42855COP</v>
          </cell>
          <cell r="C1437" t="str">
            <v>42855COLOMBIA</v>
          </cell>
          <cell r="D1437" t="str">
            <v>COP</v>
          </cell>
          <cell r="E1437">
            <v>5.5882034990463216</v>
          </cell>
          <cell r="F1437">
            <v>4.090948</v>
          </cell>
          <cell r="G1437" t="str">
            <v>COLOMBIA</v>
          </cell>
          <cell r="H1437">
            <v>5</v>
          </cell>
        </row>
        <row r="1438">
          <cell r="B1438" t="str">
            <v>42855CZK</v>
          </cell>
          <cell r="C1438" t="str">
            <v>42855CZECH REPUBLIC</v>
          </cell>
          <cell r="D1438" t="str">
            <v>CZK</v>
          </cell>
          <cell r="E1438">
            <v>4.2698746063343043</v>
          </cell>
          <cell r="F1438">
            <v>2.2356973</v>
          </cell>
          <cell r="G1438" t="str">
            <v>CZECH REPUBLIC</v>
          </cell>
          <cell r="H1438">
            <v>5</v>
          </cell>
        </row>
        <row r="1439">
          <cell r="B1439" t="str">
            <v>42855DKK</v>
          </cell>
          <cell r="C1439" t="str">
            <v>42855DENMARK</v>
          </cell>
          <cell r="D1439" t="str">
            <v>DKK</v>
          </cell>
          <cell r="E1439">
            <v>3.7585469925133488</v>
          </cell>
          <cell r="F1439">
            <v>1.2619658</v>
          </cell>
          <cell r="G1439" t="str">
            <v>DENMARK</v>
          </cell>
          <cell r="H1439">
            <v>4</v>
          </cell>
        </row>
        <row r="1440">
          <cell r="B1440" t="str">
            <v>42855EGP</v>
          </cell>
          <cell r="C1440" t="str">
            <v>42855EGYPT</v>
          </cell>
          <cell r="D1440" t="str">
            <v>EGP</v>
          </cell>
          <cell r="E1440">
            <v>15.131558979045815</v>
          </cell>
          <cell r="F1440">
            <v>18.217486999999998</v>
          </cell>
          <cell r="G1440" t="str">
            <v>EGYPT</v>
          </cell>
          <cell r="H1440">
            <v>5</v>
          </cell>
        </row>
        <row r="1441">
          <cell r="B1441" t="str">
            <v>42855EUR</v>
          </cell>
          <cell r="C1441" t="str">
            <v>42855AUSTRIA</v>
          </cell>
          <cell r="D1441" t="str">
            <v>EUR</v>
          </cell>
          <cell r="E1441">
            <v>3.9335146519612598</v>
          </cell>
          <cell r="F1441">
            <v>1.5569520666666667</v>
          </cell>
          <cell r="G1441" t="str">
            <v>AUSTRIA</v>
          </cell>
          <cell r="H1441">
            <v>4</v>
          </cell>
        </row>
        <row r="1442">
          <cell r="B1442" t="str">
            <v>42855GBP</v>
          </cell>
          <cell r="C1442" t="str">
            <v>42855UNITED KINGDOM</v>
          </cell>
          <cell r="D1442" t="str">
            <v>GBP</v>
          </cell>
          <cell r="E1442">
            <v>4.5339452983800079</v>
          </cell>
          <cell r="F1442">
            <v>2.606973</v>
          </cell>
          <cell r="G1442" t="str">
            <v>UNITED KINGDOM</v>
          </cell>
          <cell r="H1442">
            <v>4</v>
          </cell>
        </row>
        <row r="1443">
          <cell r="B1443" t="str">
            <v>42855GEL</v>
          </cell>
          <cell r="C1443" t="str">
            <v>42855GEORGIA</v>
          </cell>
          <cell r="D1443" t="str">
            <v>GEL</v>
          </cell>
          <cell r="E1443">
            <v>5.6562848237417231</v>
          </cell>
          <cell r="F1443">
            <v>4.5896666666666661</v>
          </cell>
          <cell r="G1443" t="str">
            <v>GEORGIA</v>
          </cell>
          <cell r="H1443">
            <v>6</v>
          </cell>
        </row>
        <row r="1444">
          <cell r="B1444" t="str">
            <v>42855HKD</v>
          </cell>
          <cell r="C1444" t="str">
            <v>42855HONG KONG</v>
          </cell>
          <cell r="D1444" t="str">
            <v>HKD</v>
          </cell>
          <cell r="E1444">
            <v>5.0499027236249363</v>
          </cell>
          <cell r="F1444">
            <v>2.4397674</v>
          </cell>
          <cell r="G1444" t="str">
            <v>HONG KONG</v>
          </cell>
          <cell r="H1444">
            <v>4</v>
          </cell>
        </row>
        <row r="1445">
          <cell r="B1445" t="str">
            <v>42855GHS</v>
          </cell>
          <cell r="C1445" t="str">
            <v>42855GHANA</v>
          </cell>
          <cell r="D1445" t="str">
            <v>GHS</v>
          </cell>
          <cell r="E1445">
            <v>10.21886371091956</v>
          </cell>
          <cell r="F1445">
            <v>10.974666666666668</v>
          </cell>
          <cell r="G1445" t="str">
            <v>GHANA</v>
          </cell>
          <cell r="H1445">
            <v>6</v>
          </cell>
        </row>
        <row r="1446">
          <cell r="B1446" t="str">
            <v>42855HRK</v>
          </cell>
          <cell r="C1446" t="str">
            <v>42855CROATIA</v>
          </cell>
          <cell r="D1446" t="str">
            <v>HRK</v>
          </cell>
          <cell r="E1446">
            <v>3.6931413263270576</v>
          </cell>
          <cell r="F1446">
            <v>1.0556666666666668</v>
          </cell>
          <cell r="G1446" t="str">
            <v>CROATIA</v>
          </cell>
          <cell r="H1446">
            <v>6</v>
          </cell>
        </row>
        <row r="1447">
          <cell r="B1447" t="str">
            <v>42855HUF</v>
          </cell>
          <cell r="C1447" t="str">
            <v>42855HUNGARY</v>
          </cell>
          <cell r="D1447" t="str">
            <v>HUF</v>
          </cell>
          <cell r="E1447">
            <v>5.2120744952100875</v>
          </cell>
          <cell r="F1447">
            <v>2.6913323</v>
          </cell>
          <cell r="G1447" t="str">
            <v>HUNGARY</v>
          </cell>
          <cell r="H1447">
            <v>5</v>
          </cell>
        </row>
        <row r="1448">
          <cell r="B1448" t="str">
            <v>42855IDR</v>
          </cell>
          <cell r="C1448" t="str">
            <v>42855INDONESIA</v>
          </cell>
          <cell r="D1448" t="str">
            <v>IDR</v>
          </cell>
          <cell r="E1448">
            <v>6.5183465137605792</v>
          </cell>
          <cell r="F1448">
            <v>4.3428706999999998</v>
          </cell>
          <cell r="G1448" t="str">
            <v>INDONESIA</v>
          </cell>
          <cell r="H1448">
            <v>5</v>
          </cell>
        </row>
        <row r="1449">
          <cell r="B1449" t="str">
            <v>42855ILS</v>
          </cell>
          <cell r="C1449" t="str">
            <v>42855ISRAEL</v>
          </cell>
          <cell r="D1449" t="str">
            <v>ILS</v>
          </cell>
          <cell r="E1449">
            <v>3.8541916721622584</v>
          </cell>
          <cell r="F1449">
            <v>0.97527739999999996</v>
          </cell>
          <cell r="G1449" t="str">
            <v>ISRAEL</v>
          </cell>
          <cell r="H1449">
            <v>4</v>
          </cell>
        </row>
        <row r="1450">
          <cell r="B1450" t="str">
            <v>42855INR</v>
          </cell>
          <cell r="C1450" t="str">
            <v>42855INDIA</v>
          </cell>
          <cell r="D1450" t="str">
            <v>INR</v>
          </cell>
          <cell r="E1450">
            <v>7.1717516560317698</v>
          </cell>
          <cell r="F1450">
            <v>4.7414874999999999</v>
          </cell>
          <cell r="G1450" t="str">
            <v>INDIA</v>
          </cell>
          <cell r="H1450">
            <v>5</v>
          </cell>
        </row>
        <row r="1451">
          <cell r="B1451" t="str">
            <v>42855IQD</v>
          </cell>
          <cell r="C1451" t="str">
            <v>42855IRAQ</v>
          </cell>
          <cell r="D1451" t="str">
            <v>IQD</v>
          </cell>
          <cell r="E1451">
            <v>4.2500000000000018</v>
          </cell>
          <cell r="F1451">
            <v>2</v>
          </cell>
          <cell r="G1451" t="str">
            <v>IRAQ</v>
          </cell>
          <cell r="H1451">
            <v>6</v>
          </cell>
        </row>
        <row r="1452">
          <cell r="B1452" t="str">
            <v>42855JPY</v>
          </cell>
          <cell r="C1452" t="str">
            <v>42855JAPAN</v>
          </cell>
          <cell r="D1452" t="str">
            <v>JPY</v>
          </cell>
          <cell r="E1452">
            <v>3.3902732708292396</v>
          </cell>
          <cell r="F1452">
            <v>0.78236879999999998</v>
          </cell>
          <cell r="G1452" t="str">
            <v>JAPAN</v>
          </cell>
          <cell r="H1452">
            <v>4</v>
          </cell>
        </row>
        <row r="1453">
          <cell r="B1453" t="str">
            <v>42855KES</v>
          </cell>
          <cell r="C1453" t="str">
            <v>42855KENYA</v>
          </cell>
          <cell r="D1453" t="str">
            <v>KES</v>
          </cell>
          <cell r="E1453">
            <v>7.5744296183913242</v>
          </cell>
          <cell r="F1453">
            <v>6.0403333333333338</v>
          </cell>
          <cell r="G1453" t="str">
            <v>KENYA</v>
          </cell>
          <cell r="H1453">
            <v>7.5</v>
          </cell>
        </row>
        <row r="1454">
          <cell r="B1454" t="str">
            <v>42855JOD</v>
          </cell>
          <cell r="C1454" t="str">
            <v>42855JORDAN</v>
          </cell>
          <cell r="D1454" t="str">
            <v>JOD</v>
          </cell>
          <cell r="E1454">
            <v>4.7015542266550172</v>
          </cell>
          <cell r="F1454">
            <v>2.4397674</v>
          </cell>
          <cell r="G1454" t="str">
            <v>JORDAN</v>
          </cell>
          <cell r="H1454">
            <v>6</v>
          </cell>
        </row>
        <row r="1455">
          <cell r="B1455" t="str">
            <v>42855KHR</v>
          </cell>
          <cell r="C1455" t="str">
            <v>42855CAMBODIA</v>
          </cell>
          <cell r="D1455" t="str">
            <v>KHR</v>
          </cell>
          <cell r="E1455">
            <v>5.3315755609037154</v>
          </cell>
          <cell r="F1455">
            <v>3.1683333333333334</v>
          </cell>
          <cell r="G1455" t="str">
            <v>CAMBODIA</v>
          </cell>
          <cell r="H1455">
            <v>6</v>
          </cell>
        </row>
        <row r="1456">
          <cell r="B1456" t="str">
            <v>42855KRW</v>
          </cell>
          <cell r="C1456" t="str">
            <v>42855KOREA SOUTH(REPUBLIC OF KOREA)</v>
          </cell>
          <cell r="D1456" t="str">
            <v>KRW</v>
          </cell>
          <cell r="E1456">
            <v>4.1553802906871864</v>
          </cell>
          <cell r="F1456">
            <v>1.8166017999999999</v>
          </cell>
          <cell r="G1456" t="str">
            <v>KOREA SOUTH(REPUBLIC OF KOREA)</v>
          </cell>
          <cell r="H1456">
            <v>5</v>
          </cell>
        </row>
        <row r="1457">
          <cell r="B1457" t="str">
            <v>42855KWD</v>
          </cell>
          <cell r="C1457" t="str">
            <v>42855KUWAIT</v>
          </cell>
          <cell r="D1457" t="str">
            <v>KWD</v>
          </cell>
          <cell r="E1457">
            <v>5.8495378671384914</v>
          </cell>
          <cell r="F1457">
            <v>4</v>
          </cell>
          <cell r="G1457" t="str">
            <v>KUWAIT</v>
          </cell>
          <cell r="H1457">
            <v>6</v>
          </cell>
        </row>
        <row r="1458">
          <cell r="B1458" t="str">
            <v>42855LKR</v>
          </cell>
          <cell r="C1458" t="str">
            <v>42855SRI LANKA</v>
          </cell>
          <cell r="D1458" t="str">
            <v>LKR</v>
          </cell>
          <cell r="E1458">
            <v>7.4181043362536316</v>
          </cell>
          <cell r="F1458">
            <v>4.7918662999999997</v>
          </cell>
          <cell r="G1458" t="str">
            <v>SRI LANKA</v>
          </cell>
          <cell r="H1458">
            <v>6</v>
          </cell>
        </row>
        <row r="1459">
          <cell r="B1459" t="str">
            <v>42855KZT</v>
          </cell>
          <cell r="C1459" t="str">
            <v>42855KAZAKHSTAN</v>
          </cell>
          <cell r="D1459" t="str">
            <v>KZT</v>
          </cell>
          <cell r="E1459">
            <v>8.606392591771808</v>
          </cell>
          <cell r="F1459">
            <v>7.7610000000000001</v>
          </cell>
          <cell r="G1459" t="str">
            <v>KAZAKHSTAN</v>
          </cell>
          <cell r="H1459">
            <v>6</v>
          </cell>
        </row>
        <row r="1460">
          <cell r="B1460" t="str">
            <v>42855MAD</v>
          </cell>
          <cell r="C1460" t="str">
            <v>42855MOROCCO</v>
          </cell>
          <cell r="D1460" t="str">
            <v>MAD</v>
          </cell>
          <cell r="E1460">
            <v>3.9894566735280836</v>
          </cell>
          <cell r="F1460">
            <v>1.2999999999999998</v>
          </cell>
          <cell r="G1460" t="str">
            <v>MOROCCO</v>
          </cell>
          <cell r="H1460">
            <v>6</v>
          </cell>
        </row>
        <row r="1461">
          <cell r="B1461" t="str">
            <v>42855MXN</v>
          </cell>
          <cell r="C1461" t="str">
            <v>42855MEXICO</v>
          </cell>
          <cell r="D1461" t="str">
            <v>MXN</v>
          </cell>
          <cell r="E1461">
            <v>5.6326773449980418</v>
          </cell>
          <cell r="F1461">
            <v>4.9834886000000003</v>
          </cell>
          <cell r="G1461" t="str">
            <v>MEXICO</v>
          </cell>
          <cell r="H1461">
            <v>7</v>
          </cell>
        </row>
        <row r="1462">
          <cell r="B1462" t="str">
            <v>42855MYR</v>
          </cell>
          <cell r="C1462" t="str">
            <v>42855MALAYSIA</v>
          </cell>
          <cell r="D1462" t="str">
            <v>MYR</v>
          </cell>
          <cell r="E1462">
            <v>5.1657330619459687</v>
          </cell>
          <cell r="F1462">
            <v>3.12791</v>
          </cell>
          <cell r="G1462" t="str">
            <v>MALAYSIA</v>
          </cell>
          <cell r="H1462">
            <v>5</v>
          </cell>
        </row>
        <row r="1463">
          <cell r="B1463" t="str">
            <v>42855NGN</v>
          </cell>
          <cell r="C1463" t="str">
            <v>42855NIGERIA</v>
          </cell>
          <cell r="D1463" t="str">
            <v>NGN</v>
          </cell>
          <cell r="E1463">
            <v>18.016464334463471</v>
          </cell>
          <cell r="F1463">
            <v>14.0251</v>
          </cell>
          <cell r="G1463" t="str">
            <v>NIGERIA</v>
          </cell>
          <cell r="H1463">
            <v>8</v>
          </cell>
        </row>
        <row r="1464">
          <cell r="B1464" t="str">
            <v>42855NOK</v>
          </cell>
          <cell r="C1464" t="str">
            <v>42855NORWAY</v>
          </cell>
          <cell r="D1464" t="str">
            <v>NOK</v>
          </cell>
          <cell r="E1464">
            <v>4.7699921996875485</v>
          </cell>
          <cell r="F1464">
            <v>2.0484836</v>
          </cell>
          <cell r="G1464" t="str">
            <v>NORWAY</v>
          </cell>
          <cell r="H1464">
            <v>4</v>
          </cell>
        </row>
        <row r="1465">
          <cell r="B1465" t="str">
            <v>42855NZD</v>
          </cell>
          <cell r="C1465" t="str">
            <v>42855NEW ZEALAND</v>
          </cell>
          <cell r="D1465" t="str">
            <v>NZD</v>
          </cell>
          <cell r="E1465">
            <v>4.1594293184110267</v>
          </cell>
          <cell r="F1465">
            <v>1.7979655999999999</v>
          </cell>
          <cell r="G1465" t="str">
            <v>NEW ZEALAND</v>
          </cell>
          <cell r="H1465">
            <v>4.3904734052139096</v>
          </cell>
        </row>
        <row r="1466">
          <cell r="B1466" t="str">
            <v>42855OMR</v>
          </cell>
          <cell r="C1466" t="str">
            <v>42855OMAN</v>
          </cell>
          <cell r="D1466" t="str">
            <v>OMR</v>
          </cell>
          <cell r="E1466">
            <v>5.5090338726396162</v>
          </cell>
          <cell r="F1466">
            <v>2.4397674</v>
          </cell>
          <cell r="G1466" t="str">
            <v>OMAN</v>
          </cell>
          <cell r="H1466">
            <v>6</v>
          </cell>
        </row>
        <row r="1467">
          <cell r="B1467" t="str">
            <v>42855PEN</v>
          </cell>
          <cell r="C1467" t="str">
            <v>42855PERU</v>
          </cell>
          <cell r="D1467" t="str">
            <v>PEN</v>
          </cell>
          <cell r="E1467">
            <v>4.8757687810486319</v>
          </cell>
          <cell r="F1467">
            <v>2.8299618</v>
          </cell>
          <cell r="G1467" t="str">
            <v>PERU</v>
          </cell>
          <cell r="H1467">
            <v>5</v>
          </cell>
        </row>
        <row r="1468">
          <cell r="B1468" t="str">
            <v>42855PHP</v>
          </cell>
          <cell r="C1468" t="str">
            <v>42855PHILIPPINES</v>
          </cell>
          <cell r="D1468" t="str">
            <v>PHP</v>
          </cell>
          <cell r="E1468">
            <v>5.4347100072790013</v>
          </cell>
          <cell r="F1468">
            <v>3.2414505</v>
          </cell>
          <cell r="G1468" t="str">
            <v>PHILIPPINES</v>
          </cell>
          <cell r="H1468">
            <v>5</v>
          </cell>
        </row>
        <row r="1469">
          <cell r="B1469" t="str">
            <v>42855PKR</v>
          </cell>
          <cell r="C1469" t="str">
            <v>42855PAKISTAN</v>
          </cell>
          <cell r="D1469" t="str">
            <v>PKR</v>
          </cell>
          <cell r="E1469">
            <v>7.1088208615635509</v>
          </cell>
          <cell r="F1469">
            <v>4.8000097000000004</v>
          </cell>
          <cell r="G1469" t="str">
            <v>PAKISTAN</v>
          </cell>
          <cell r="H1469">
            <v>6</v>
          </cell>
        </row>
        <row r="1470">
          <cell r="B1470" t="str">
            <v>42855PLN</v>
          </cell>
          <cell r="C1470" t="str">
            <v>42855POLAND</v>
          </cell>
          <cell r="D1470" t="str">
            <v>PLN</v>
          </cell>
          <cell r="E1470">
            <v>4.6747716227627336</v>
          </cell>
          <cell r="F1470">
            <v>1.9437161999999999</v>
          </cell>
          <cell r="G1470" t="str">
            <v>POLAND</v>
          </cell>
          <cell r="H1470">
            <v>5</v>
          </cell>
        </row>
        <row r="1471">
          <cell r="B1471" t="str">
            <v>42855QAR</v>
          </cell>
          <cell r="C1471" t="str">
            <v>42855QATAR</v>
          </cell>
          <cell r="D1471" t="str">
            <v>QAR</v>
          </cell>
          <cell r="E1471">
            <v>5.366298396200845</v>
          </cell>
          <cell r="F1471">
            <v>2.4397674</v>
          </cell>
          <cell r="G1471" t="str">
            <v>QATAR</v>
          </cell>
          <cell r="H1471">
            <v>6</v>
          </cell>
        </row>
        <row r="1472">
          <cell r="B1472" t="str">
            <v>42855RON</v>
          </cell>
          <cell r="C1472" t="str">
            <v>42855ROMANIA</v>
          </cell>
          <cell r="D1472" t="str">
            <v>RON</v>
          </cell>
          <cell r="E1472">
            <v>4.7219541050939986</v>
          </cell>
          <cell r="F1472">
            <v>1.7978259000000001</v>
          </cell>
          <cell r="G1472" t="str">
            <v>ROMANIA</v>
          </cell>
          <cell r="H1472">
            <v>6</v>
          </cell>
        </row>
        <row r="1473">
          <cell r="B1473" t="str">
            <v>42855RUB</v>
          </cell>
          <cell r="C1473" t="str">
            <v>42855RUSSIAN FEDERATION</v>
          </cell>
          <cell r="D1473" t="str">
            <v>RUB</v>
          </cell>
          <cell r="E1473">
            <v>6.3830399349869262</v>
          </cell>
          <cell r="F1473">
            <v>4.3665469999999997</v>
          </cell>
          <cell r="G1473" t="str">
            <v>RUSSIAN FEDERATION</v>
          </cell>
          <cell r="H1473">
            <v>5</v>
          </cell>
        </row>
        <row r="1474">
          <cell r="B1474" t="str">
            <v>42855SAR</v>
          </cell>
          <cell r="C1474" t="str">
            <v>42855SAUDI ARABIA</v>
          </cell>
          <cell r="D1474" t="str">
            <v>SAR</v>
          </cell>
          <cell r="E1474">
            <v>5.2582653898094724</v>
          </cell>
          <cell r="F1474">
            <v>2.4397674</v>
          </cell>
          <cell r="G1474" t="str">
            <v>SAUDI ARABIA</v>
          </cell>
          <cell r="H1474">
            <v>5</v>
          </cell>
        </row>
        <row r="1475">
          <cell r="B1475" t="str">
            <v>42855SEK</v>
          </cell>
          <cell r="C1475" t="str">
            <v>42855SWEDEN</v>
          </cell>
          <cell r="D1475" t="str">
            <v>SEK</v>
          </cell>
          <cell r="E1475">
            <v>3.9697844507506721</v>
          </cell>
          <cell r="F1475">
            <v>1.6644881</v>
          </cell>
          <cell r="G1475" t="str">
            <v>SWEDEN</v>
          </cell>
          <cell r="H1475">
            <v>4</v>
          </cell>
        </row>
        <row r="1476">
          <cell r="B1476" t="str">
            <v>42855SGD</v>
          </cell>
          <cell r="C1476" t="str">
            <v>42855SINGAPORE</v>
          </cell>
          <cell r="D1476" t="str">
            <v>SGD</v>
          </cell>
          <cell r="E1476">
            <v>3.9694572248692586</v>
          </cell>
          <cell r="F1476">
            <v>1.0655266000000001</v>
          </cell>
          <cell r="G1476" t="str">
            <v>SINGAPORE</v>
          </cell>
          <cell r="H1476">
            <v>4</v>
          </cell>
        </row>
        <row r="1477">
          <cell r="B1477" t="str">
            <v>42855TZS</v>
          </cell>
          <cell r="C1477" t="str">
            <v>42855TANZANIA, UNITED REPUBLIC OF</v>
          </cell>
          <cell r="D1477" t="str">
            <v>TZS</v>
          </cell>
          <cell r="E1477">
            <v>7.2599980957821311</v>
          </cell>
          <cell r="F1477">
            <v>5.0333333333333332</v>
          </cell>
          <cell r="G1477" t="str">
            <v>TANZANIA, UNITED REPUBLIC OF</v>
          </cell>
          <cell r="H1477">
            <v>6</v>
          </cell>
        </row>
        <row r="1478">
          <cell r="B1478" t="str">
            <v>42855THB</v>
          </cell>
          <cell r="C1478" t="str">
            <v>42855THAILAND</v>
          </cell>
          <cell r="D1478" t="str">
            <v>THB</v>
          </cell>
          <cell r="E1478">
            <v>4.2074448455131455</v>
          </cell>
          <cell r="F1478">
            <v>1.692642</v>
          </cell>
          <cell r="G1478" t="str">
            <v>THAILAND</v>
          </cell>
          <cell r="H1478">
            <v>5</v>
          </cell>
        </row>
        <row r="1479">
          <cell r="B1479" t="str">
            <v>42855TRY</v>
          </cell>
          <cell r="C1479" t="str">
            <v>42855TURKEY</v>
          </cell>
          <cell r="D1479" t="str">
            <v>TRY</v>
          </cell>
          <cell r="E1479">
            <v>10.833899178957122</v>
          </cell>
          <cell r="F1479">
            <v>9.3057320000000008</v>
          </cell>
          <cell r="G1479" t="str">
            <v>TURKEY</v>
          </cell>
          <cell r="H1479">
            <v>5</v>
          </cell>
        </row>
        <row r="1480">
          <cell r="B1480" t="str">
            <v>42855TWD</v>
          </cell>
          <cell r="C1480" t="str">
            <v>42855TAIWAN</v>
          </cell>
          <cell r="D1480" t="str">
            <v>TWD</v>
          </cell>
          <cell r="E1480">
            <v>3.84966558562048</v>
          </cell>
          <cell r="F1480">
            <v>1.4581580000000001</v>
          </cell>
          <cell r="G1480" t="str">
            <v>TAIWAN</v>
          </cell>
          <cell r="H1480">
            <v>5</v>
          </cell>
        </row>
        <row r="1481">
          <cell r="B1481" t="str">
            <v>42855UAH</v>
          </cell>
          <cell r="C1481" t="str">
            <v>42855UKRAINE</v>
          </cell>
          <cell r="D1481" t="str">
            <v>UAH</v>
          </cell>
          <cell r="E1481">
            <v>9.8376385112100042</v>
          </cell>
          <cell r="F1481">
            <v>10.550314999999999</v>
          </cell>
          <cell r="G1481" t="str">
            <v>UKRAINE</v>
          </cell>
          <cell r="H1481">
            <v>6</v>
          </cell>
        </row>
        <row r="1482">
          <cell r="B1482" t="str">
            <v>42855USD</v>
          </cell>
          <cell r="C1482" t="str">
            <v>42855UNITED STATES</v>
          </cell>
          <cell r="D1482" t="str">
            <v>USD</v>
          </cell>
          <cell r="E1482">
            <v>4.6850349946495653</v>
          </cell>
          <cell r="F1482">
            <v>2.4397674</v>
          </cell>
          <cell r="G1482" t="str">
            <v>UNITED STATES</v>
          </cell>
          <cell r="H1482">
            <v>4</v>
          </cell>
        </row>
        <row r="1483">
          <cell r="B1483" t="str">
            <v>42855VND</v>
          </cell>
          <cell r="C1483" t="str">
            <v>42855VIET NAM</v>
          </cell>
          <cell r="D1483" t="str">
            <v>VND</v>
          </cell>
          <cell r="E1483">
            <v>7.2237869151562197</v>
          </cell>
          <cell r="F1483">
            <v>4.4071382999999997</v>
          </cell>
          <cell r="G1483" t="str">
            <v>VIET NAM</v>
          </cell>
          <cell r="H1483">
            <v>6</v>
          </cell>
        </row>
        <row r="1484">
          <cell r="B1484" t="str">
            <v>42855XOF</v>
          </cell>
          <cell r="C1484" t="str">
            <v>42855MALI</v>
          </cell>
          <cell r="D1484" t="str">
            <v>XOF</v>
          </cell>
          <cell r="E1484">
            <v>3.6305950853775784</v>
          </cell>
          <cell r="G1484" t="str">
            <v>MALI</v>
          </cell>
          <cell r="H1484">
            <v>6</v>
          </cell>
        </row>
        <row r="1485">
          <cell r="B1485" t="str">
            <v>42855ZAR</v>
          </cell>
          <cell r="C1485" t="str">
            <v>42855SOUTH AFRICA</v>
          </cell>
          <cell r="D1485" t="str">
            <v>ZAR</v>
          </cell>
          <cell r="E1485">
            <v>7.8838598821293884</v>
          </cell>
          <cell r="F1485">
            <v>5.6425159999999996</v>
          </cell>
          <cell r="G1485" t="str">
            <v>SOUTH AFRICA</v>
          </cell>
          <cell r="H1485">
            <v>5</v>
          </cell>
        </row>
        <row r="1486">
          <cell r="B1486" t="str">
            <v>42855ZMW</v>
          </cell>
          <cell r="C1486" t="str">
            <v>42855ZAMBIA</v>
          </cell>
          <cell r="D1486" t="str">
            <v>ZMW</v>
          </cell>
          <cell r="E1486">
            <v>9.4941884234891063</v>
          </cell>
          <cell r="G1486" t="str">
            <v>ZAMBIA</v>
          </cell>
          <cell r="H1486">
            <v>6</v>
          </cell>
        </row>
        <row r="1487">
          <cell r="B1487" t="str">
            <v>42855EUR1</v>
          </cell>
          <cell r="C1487" t="str">
            <v>42855BELGIUM</v>
          </cell>
          <cell r="D1487" t="str">
            <v>EUR1</v>
          </cell>
          <cell r="E1487">
            <v>3.9335146519612598</v>
          </cell>
          <cell r="G1487" t="str">
            <v>BELGIUM</v>
          </cell>
          <cell r="H1487">
            <v>4</v>
          </cell>
        </row>
        <row r="1488">
          <cell r="B1488" t="str">
            <v>42855EUR2</v>
          </cell>
          <cell r="C1488" t="str">
            <v>42855CYPRUS</v>
          </cell>
          <cell r="D1488" t="str">
            <v>EUR2</v>
          </cell>
          <cell r="E1488">
            <v>3.9335146519612598</v>
          </cell>
          <cell r="G1488" t="str">
            <v>CYPRUS</v>
          </cell>
          <cell r="H1488">
            <v>5</v>
          </cell>
        </row>
        <row r="1489">
          <cell r="B1489" t="str">
            <v>42855EUR3</v>
          </cell>
          <cell r="C1489" t="str">
            <v>42855ESTONIA</v>
          </cell>
          <cell r="D1489" t="str">
            <v>EUR3</v>
          </cell>
          <cell r="E1489">
            <v>3.9335146519612598</v>
          </cell>
          <cell r="G1489" t="str">
            <v>ESTONIA</v>
          </cell>
          <cell r="H1489">
            <v>6</v>
          </cell>
        </row>
        <row r="1490">
          <cell r="B1490" t="str">
            <v>42855EUR4</v>
          </cell>
          <cell r="C1490" t="str">
            <v>42855FINLAND</v>
          </cell>
          <cell r="D1490" t="str">
            <v>EUR4</v>
          </cell>
          <cell r="E1490">
            <v>3.9335146519612598</v>
          </cell>
          <cell r="G1490" t="str">
            <v>FINLAND</v>
          </cell>
          <cell r="H1490">
            <v>4</v>
          </cell>
        </row>
        <row r="1491">
          <cell r="B1491" t="str">
            <v>42855EUR5</v>
          </cell>
          <cell r="C1491" t="str">
            <v>42855FRANCE</v>
          </cell>
          <cell r="D1491" t="str">
            <v>EUR5</v>
          </cell>
          <cell r="E1491">
            <v>3.9335146519612598</v>
          </cell>
          <cell r="G1491" t="str">
            <v>FRANCE</v>
          </cell>
          <cell r="H1491">
            <v>4</v>
          </cell>
        </row>
        <row r="1492">
          <cell r="B1492" t="str">
            <v>42855EUR6</v>
          </cell>
          <cell r="C1492" t="str">
            <v>42855GERMANY</v>
          </cell>
          <cell r="D1492" t="str">
            <v>EUR6</v>
          </cell>
          <cell r="E1492">
            <v>3.9335146519612598</v>
          </cell>
          <cell r="G1492" t="str">
            <v>GERMANY</v>
          </cell>
          <cell r="H1492">
            <v>4.2991145326737055</v>
          </cell>
        </row>
        <row r="1493">
          <cell r="B1493" t="str">
            <v>42855EUR7</v>
          </cell>
          <cell r="C1493" t="str">
            <v>42855GREECE</v>
          </cell>
          <cell r="D1493" t="str">
            <v>EUR7</v>
          </cell>
          <cell r="E1493">
            <v>3.9335146519612598</v>
          </cell>
          <cell r="G1493" t="str">
            <v>GREECE</v>
          </cell>
          <cell r="H1493">
            <v>7</v>
          </cell>
        </row>
        <row r="1494">
          <cell r="B1494" t="str">
            <v>42855EUR8</v>
          </cell>
          <cell r="C1494" t="str">
            <v>42855IRELAND</v>
          </cell>
          <cell r="D1494" t="str">
            <v>EUR8</v>
          </cell>
          <cell r="E1494">
            <v>3.9335146519612598</v>
          </cell>
          <cell r="G1494" t="str">
            <v>IRELAND</v>
          </cell>
          <cell r="H1494">
            <v>4</v>
          </cell>
        </row>
        <row r="1495">
          <cell r="B1495" t="str">
            <v>42855EUR9</v>
          </cell>
          <cell r="C1495" t="str">
            <v>42855ITALY</v>
          </cell>
          <cell r="D1495" t="str">
            <v>EUR9</v>
          </cell>
          <cell r="E1495">
            <v>3.9335146519612598</v>
          </cell>
          <cell r="G1495" t="str">
            <v>ITALY</v>
          </cell>
          <cell r="H1495">
            <v>4</v>
          </cell>
        </row>
        <row r="1496">
          <cell r="B1496" t="str">
            <v>42855EUR10</v>
          </cell>
          <cell r="C1496" t="str">
            <v>42855LATVIA</v>
          </cell>
          <cell r="D1496" t="str">
            <v>EUR10</v>
          </cell>
          <cell r="E1496">
            <v>3.9335146519612598</v>
          </cell>
          <cell r="G1496" t="str">
            <v>LATVIA</v>
          </cell>
          <cell r="H1496">
            <v>6</v>
          </cell>
        </row>
        <row r="1497">
          <cell r="B1497" t="str">
            <v>42855EUR11</v>
          </cell>
          <cell r="C1497" t="str">
            <v>42855LUXEMBOURG</v>
          </cell>
          <cell r="D1497" t="str">
            <v>EUR11</v>
          </cell>
          <cell r="E1497">
            <v>3.9335146519612598</v>
          </cell>
          <cell r="G1497" t="str">
            <v>LUXEMBOURG</v>
          </cell>
          <cell r="H1497">
            <v>4</v>
          </cell>
        </row>
        <row r="1498">
          <cell r="B1498" t="str">
            <v>42855EUR12</v>
          </cell>
          <cell r="C1498" t="str">
            <v>42855MALTA</v>
          </cell>
          <cell r="D1498" t="str">
            <v>EUR12</v>
          </cell>
          <cell r="E1498">
            <v>3.9335146519612598</v>
          </cell>
          <cell r="G1498" t="str">
            <v>MALTA</v>
          </cell>
          <cell r="H1498">
            <v>4</v>
          </cell>
        </row>
        <row r="1499">
          <cell r="B1499" t="str">
            <v>42855EUR13</v>
          </cell>
          <cell r="C1499" t="str">
            <v>42855MONTENEGRO</v>
          </cell>
          <cell r="D1499" t="str">
            <v>EUR13</v>
          </cell>
          <cell r="E1499">
            <v>3.9335146519612598</v>
          </cell>
          <cell r="G1499" t="str">
            <v>MONTENEGRO</v>
          </cell>
          <cell r="H1499">
            <v>6</v>
          </cell>
        </row>
        <row r="1500">
          <cell r="B1500" t="str">
            <v>42855EUR14</v>
          </cell>
          <cell r="C1500" t="str">
            <v>42855NETHERLANDS</v>
          </cell>
          <cell r="D1500" t="str">
            <v>EUR14</v>
          </cell>
          <cell r="E1500">
            <v>3.9335146519612598</v>
          </cell>
          <cell r="G1500" t="str">
            <v>NETHERLANDS</v>
          </cell>
          <cell r="H1500">
            <v>4</v>
          </cell>
        </row>
        <row r="1501">
          <cell r="B1501" t="str">
            <v>42855EUR15</v>
          </cell>
          <cell r="C1501" t="str">
            <v>42855PORTUGAL</v>
          </cell>
          <cell r="D1501" t="str">
            <v>EUR15</v>
          </cell>
          <cell r="E1501">
            <v>3.9335146519612598</v>
          </cell>
          <cell r="G1501" t="str">
            <v>PORTUGAL</v>
          </cell>
          <cell r="H1501">
            <v>4</v>
          </cell>
        </row>
        <row r="1502">
          <cell r="B1502" t="str">
            <v>42855EUR16</v>
          </cell>
          <cell r="C1502" t="str">
            <v>42855SLOVAKIA</v>
          </cell>
          <cell r="D1502" t="str">
            <v>EUR16</v>
          </cell>
          <cell r="E1502">
            <v>3.9335146519612598</v>
          </cell>
          <cell r="G1502" t="str">
            <v>SLOVAKIA</v>
          </cell>
          <cell r="H1502">
            <v>5</v>
          </cell>
        </row>
        <row r="1503">
          <cell r="B1503" t="str">
            <v>42855EUR17</v>
          </cell>
          <cell r="C1503" t="str">
            <v>42855SLOVENIA</v>
          </cell>
          <cell r="D1503" t="str">
            <v>EUR17</v>
          </cell>
          <cell r="E1503">
            <v>3.9335146519612598</v>
          </cell>
          <cell r="G1503" t="str">
            <v>SLOVENIA</v>
          </cell>
          <cell r="H1503">
            <v>6</v>
          </cell>
        </row>
        <row r="1504">
          <cell r="B1504" t="str">
            <v>42855EUR18</v>
          </cell>
          <cell r="C1504" t="str">
            <v>42855SPAIN</v>
          </cell>
          <cell r="D1504" t="str">
            <v>EUR18</v>
          </cell>
          <cell r="E1504">
            <v>3.9335146519612598</v>
          </cell>
          <cell r="G1504" t="str">
            <v>SPAIN</v>
          </cell>
          <cell r="H1504">
            <v>4</v>
          </cell>
        </row>
        <row r="1505">
          <cell r="B1505" t="str">
            <v>42855Eastern European Institutions</v>
          </cell>
          <cell r="C1505" t="str">
            <v>42855Eastern European Institutions</v>
          </cell>
          <cell r="D1505" t="str">
            <v>Eastern European Institutions</v>
          </cell>
          <cell r="E1505">
            <v>2.25</v>
          </cell>
          <cell r="G1505" t="str">
            <v>Eastern European Institutions</v>
          </cell>
          <cell r="H1505">
            <v>5</v>
          </cell>
        </row>
        <row r="1506">
          <cell r="B1506" t="str">
            <v>42886AED</v>
          </cell>
          <cell r="C1506" t="str">
            <v>42886U. A. E.</v>
          </cell>
          <cell r="D1506" t="str">
            <v>AED</v>
          </cell>
          <cell r="E1506">
            <v>5.1093809387827518</v>
          </cell>
          <cell r="F1506">
            <v>2.2964850000000001</v>
          </cell>
          <cell r="G1506" t="str">
            <v>U. A. E.</v>
          </cell>
          <cell r="H1506">
            <v>5</v>
          </cell>
        </row>
        <row r="1507">
          <cell r="B1507" t="str">
            <v>42886ARS</v>
          </cell>
          <cell r="C1507" t="str">
            <v>42886ARGENTINA</v>
          </cell>
          <cell r="D1507" t="str">
            <v>ARS</v>
          </cell>
          <cell r="E1507">
            <v>18.287264117894303</v>
          </cell>
          <cell r="F1507">
            <v>18.883033999999999</v>
          </cell>
          <cell r="G1507" t="str">
            <v>ARGENTINA</v>
          </cell>
          <cell r="H1507">
            <v>6</v>
          </cell>
        </row>
        <row r="1508">
          <cell r="B1508" t="str">
            <v>42886AUD</v>
          </cell>
          <cell r="C1508" t="str">
            <v>42886AUSTRALIA</v>
          </cell>
          <cell r="D1508" t="str">
            <v>AUD</v>
          </cell>
          <cell r="E1508">
            <v>4.6413792060740846</v>
          </cell>
          <cell r="F1508">
            <v>2.1753697000000001</v>
          </cell>
          <cell r="G1508" t="str">
            <v>AUSTRALIA</v>
          </cell>
          <cell r="H1508">
            <v>3.9085235175508517</v>
          </cell>
        </row>
        <row r="1509">
          <cell r="B1509" t="str">
            <v>42886BDT</v>
          </cell>
          <cell r="C1509" t="str">
            <v>42886BANGLADESH</v>
          </cell>
          <cell r="D1509" t="str">
            <v>BDT</v>
          </cell>
          <cell r="E1509">
            <v>8.0367423316922952</v>
          </cell>
          <cell r="F1509">
            <v>5.8922309999999998</v>
          </cell>
          <cell r="G1509" t="str">
            <v>BANGLADESH</v>
          </cell>
          <cell r="H1509">
            <v>6</v>
          </cell>
        </row>
        <row r="1510">
          <cell r="B1510" t="str">
            <v>42886BRL</v>
          </cell>
          <cell r="C1510" t="str">
            <v>42886BRAZIL</v>
          </cell>
          <cell r="D1510" t="str">
            <v>BRL</v>
          </cell>
          <cell r="E1510">
            <v>6.6767729719631221</v>
          </cell>
          <cell r="F1510">
            <v>4.1760836000000001</v>
          </cell>
          <cell r="G1510" t="str">
            <v>BRAZIL</v>
          </cell>
          <cell r="H1510">
            <v>7</v>
          </cell>
        </row>
        <row r="1511">
          <cell r="B1511" t="str">
            <v>42886BWP</v>
          </cell>
          <cell r="C1511" t="str">
            <v>42886BOTSWANA</v>
          </cell>
          <cell r="D1511" t="str">
            <v>BWP</v>
          </cell>
          <cell r="E1511">
            <v>6.6586193958538633</v>
          </cell>
          <cell r="F1511">
            <v>3.7625000000000002</v>
          </cell>
          <cell r="G1511" t="str">
            <v>BOTSWANA</v>
          </cell>
          <cell r="H1511">
            <v>6</v>
          </cell>
        </row>
        <row r="1512">
          <cell r="B1512" t="str">
            <v>42886CAD</v>
          </cell>
          <cell r="C1512" t="str">
            <v>42886CANADA</v>
          </cell>
          <cell r="D1512" t="str">
            <v>CAD</v>
          </cell>
          <cell r="E1512">
            <v>4.2779891198976996</v>
          </cell>
          <cell r="F1512">
            <v>1.9892570999999999</v>
          </cell>
          <cell r="G1512" t="str">
            <v>CANADA</v>
          </cell>
          <cell r="H1512">
            <v>4</v>
          </cell>
        </row>
        <row r="1513">
          <cell r="B1513" t="str">
            <v>42886CHF</v>
          </cell>
          <cell r="C1513" t="str">
            <v>42886SWITZERLAND</v>
          </cell>
          <cell r="D1513" t="str">
            <v>CHF</v>
          </cell>
          <cell r="E1513">
            <v>3.0183997689212907</v>
          </cell>
          <cell r="F1513">
            <v>0.53178320000000001</v>
          </cell>
          <cell r="G1513" t="str">
            <v>SWITZERLAND</v>
          </cell>
          <cell r="H1513">
            <v>4</v>
          </cell>
        </row>
        <row r="1514">
          <cell r="B1514" t="str">
            <v>42886CLP</v>
          </cell>
          <cell r="C1514" t="str">
            <v>42886CHILE</v>
          </cell>
          <cell r="D1514" t="str">
            <v>CLP</v>
          </cell>
          <cell r="E1514">
            <v>5.2175634155198249</v>
          </cell>
          <cell r="F1514">
            <v>2.9447497999999999</v>
          </cell>
          <cell r="G1514" t="str">
            <v>CHILE</v>
          </cell>
          <cell r="H1514">
            <v>5</v>
          </cell>
        </row>
        <row r="1515">
          <cell r="B1515" t="str">
            <v>42886CNY</v>
          </cell>
          <cell r="C1515" t="str">
            <v>42886CHINA</v>
          </cell>
          <cell r="D1515" t="str">
            <v>CNY</v>
          </cell>
          <cell r="E1515">
            <v>4.9095792816651809</v>
          </cell>
          <cell r="F1515">
            <v>2.1836660000000001</v>
          </cell>
          <cell r="G1515" t="str">
            <v>CHINA</v>
          </cell>
          <cell r="H1515">
            <v>5</v>
          </cell>
        </row>
        <row r="1516">
          <cell r="B1516" t="str">
            <v>42886COP</v>
          </cell>
          <cell r="C1516" t="str">
            <v>42886COLOMBIA</v>
          </cell>
          <cell r="D1516" t="str">
            <v>COP</v>
          </cell>
          <cell r="E1516">
            <v>5.5882034990463216</v>
          </cell>
          <cell r="F1516">
            <v>3.934863</v>
          </cell>
          <cell r="G1516" t="str">
            <v>COLOMBIA</v>
          </cell>
          <cell r="H1516">
            <v>5</v>
          </cell>
        </row>
        <row r="1517">
          <cell r="B1517" t="str">
            <v>42886CZK</v>
          </cell>
          <cell r="C1517" t="str">
            <v>42886CZECH REPUBLIC</v>
          </cell>
          <cell r="D1517" t="str">
            <v>CZK</v>
          </cell>
          <cell r="E1517">
            <v>4.2698746063343043</v>
          </cell>
          <cell r="F1517">
            <v>2.2073817</v>
          </cell>
          <cell r="G1517" t="str">
            <v>CZECH REPUBLIC</v>
          </cell>
          <cell r="H1517">
            <v>5</v>
          </cell>
        </row>
        <row r="1518">
          <cell r="B1518" t="str">
            <v>42886DKK</v>
          </cell>
          <cell r="C1518" t="str">
            <v>42886DENMARK</v>
          </cell>
          <cell r="D1518" t="str">
            <v>DKK</v>
          </cell>
          <cell r="E1518">
            <v>3.7585469925133488</v>
          </cell>
          <cell r="F1518">
            <v>1.3434619000000001</v>
          </cell>
          <cell r="G1518" t="str">
            <v>DENMARK</v>
          </cell>
          <cell r="H1518">
            <v>4</v>
          </cell>
        </row>
        <row r="1519">
          <cell r="B1519" t="str">
            <v>42886EGP</v>
          </cell>
          <cell r="C1519" t="str">
            <v>42886EGYPT</v>
          </cell>
          <cell r="D1519" t="str">
            <v>EGP</v>
          </cell>
          <cell r="E1519">
            <v>15.131558979045815</v>
          </cell>
          <cell r="F1519">
            <v>18.430008000000001</v>
          </cell>
          <cell r="G1519" t="str">
            <v>EGYPT</v>
          </cell>
          <cell r="H1519">
            <v>5</v>
          </cell>
        </row>
        <row r="1520">
          <cell r="B1520" t="str">
            <v>42886EUR</v>
          </cell>
          <cell r="C1520" t="str">
            <v>42886AUSTRIA</v>
          </cell>
          <cell r="D1520" t="str">
            <v>EUR</v>
          </cell>
          <cell r="E1520">
            <v>3.9335146519612598</v>
          </cell>
          <cell r="F1520">
            <v>1.5474676999999999</v>
          </cell>
          <cell r="G1520" t="str">
            <v>AUSTRIA</v>
          </cell>
          <cell r="H1520">
            <v>4</v>
          </cell>
        </row>
        <row r="1521">
          <cell r="B1521" t="str">
            <v>42886GBP</v>
          </cell>
          <cell r="C1521" t="str">
            <v>42886UNITED KINGDOM</v>
          </cell>
          <cell r="D1521" t="str">
            <v>GBP</v>
          </cell>
          <cell r="E1521">
            <v>4.5339452983800079</v>
          </cell>
          <cell r="F1521">
            <v>2.6571880000000001</v>
          </cell>
          <cell r="G1521" t="str">
            <v>UNITED KINGDOM</v>
          </cell>
          <cell r="H1521">
            <v>4</v>
          </cell>
        </row>
        <row r="1522">
          <cell r="B1522" t="str">
            <v>42886GEL</v>
          </cell>
          <cell r="C1522" t="str">
            <v>42886GEORGIA</v>
          </cell>
          <cell r="D1522" t="str">
            <v>GEL</v>
          </cell>
          <cell r="E1522">
            <v>5.6562848237417231</v>
          </cell>
          <cell r="F1522">
            <v>4.3130833333333332</v>
          </cell>
          <cell r="G1522" t="str">
            <v>GEORGIA</v>
          </cell>
          <cell r="H1522">
            <v>6</v>
          </cell>
        </row>
        <row r="1523">
          <cell r="B1523" t="str">
            <v>42886HKD</v>
          </cell>
          <cell r="C1523" t="str">
            <v>42886HONG KONG</v>
          </cell>
          <cell r="D1523" t="str">
            <v>HKD</v>
          </cell>
          <cell r="E1523">
            <v>5.0499027236249363</v>
          </cell>
          <cell r="F1523">
            <v>2.2964850000000001</v>
          </cell>
          <cell r="G1523" t="str">
            <v>HONG KONG</v>
          </cell>
          <cell r="H1523">
            <v>4</v>
          </cell>
        </row>
        <row r="1524">
          <cell r="B1524" t="str">
            <v>42886GHS</v>
          </cell>
          <cell r="C1524" t="str">
            <v>42886GHANA</v>
          </cell>
          <cell r="D1524" t="str">
            <v>GHS</v>
          </cell>
          <cell r="E1524">
            <v>10.21886371091956</v>
          </cell>
          <cell r="F1524">
            <v>10.727833333333333</v>
          </cell>
          <cell r="G1524" t="str">
            <v>GHANA</v>
          </cell>
          <cell r="H1524">
            <v>6</v>
          </cell>
        </row>
        <row r="1525">
          <cell r="B1525" t="str">
            <v>42886HRK</v>
          </cell>
          <cell r="C1525" t="str">
            <v>42886CROATIA</v>
          </cell>
          <cell r="D1525" t="str">
            <v>HRK</v>
          </cell>
          <cell r="E1525">
            <v>3.6931413263270576</v>
          </cell>
          <cell r="F1525">
            <v>1.0565833333333334</v>
          </cell>
          <cell r="G1525" t="str">
            <v>CROATIA</v>
          </cell>
          <cell r="H1525">
            <v>6</v>
          </cell>
        </row>
        <row r="1526">
          <cell r="B1526" t="str">
            <v>42886HUF</v>
          </cell>
          <cell r="C1526" t="str">
            <v>42886HUNGARY</v>
          </cell>
          <cell r="D1526" t="str">
            <v>HUF</v>
          </cell>
          <cell r="E1526">
            <v>5.2120744952100875</v>
          </cell>
          <cell r="F1526">
            <v>2.7608123</v>
          </cell>
          <cell r="G1526" t="str">
            <v>HUNGARY</v>
          </cell>
          <cell r="H1526">
            <v>5</v>
          </cell>
        </row>
        <row r="1527">
          <cell r="B1527" t="str">
            <v>42886IDR</v>
          </cell>
          <cell r="C1527" t="str">
            <v>42886INDONESIA</v>
          </cell>
          <cell r="D1527" t="str">
            <v>IDR</v>
          </cell>
          <cell r="E1527">
            <v>6.5183465137605792</v>
          </cell>
          <cell r="F1527">
            <v>4.3282021999999998</v>
          </cell>
          <cell r="G1527" t="str">
            <v>INDONESIA</v>
          </cell>
          <cell r="H1527">
            <v>5</v>
          </cell>
        </row>
        <row r="1528">
          <cell r="B1528" t="str">
            <v>42886ILS</v>
          </cell>
          <cell r="C1528" t="str">
            <v>42886ISRAEL</v>
          </cell>
          <cell r="D1528" t="str">
            <v>ILS</v>
          </cell>
          <cell r="E1528">
            <v>3.8541916721622584</v>
          </cell>
          <cell r="F1528">
            <v>1.0664929000000001</v>
          </cell>
          <cell r="G1528" t="str">
            <v>ISRAEL</v>
          </cell>
          <cell r="H1528">
            <v>4</v>
          </cell>
        </row>
        <row r="1529">
          <cell r="B1529" t="str">
            <v>42886INR</v>
          </cell>
          <cell r="C1529" t="str">
            <v>42886INDIA</v>
          </cell>
          <cell r="D1529" t="str">
            <v>INR</v>
          </cell>
          <cell r="E1529">
            <v>7.1717516560317698</v>
          </cell>
          <cell r="F1529">
            <v>4.8297759999999998</v>
          </cell>
          <cell r="G1529" t="str">
            <v>INDIA</v>
          </cell>
          <cell r="H1529">
            <v>5</v>
          </cell>
        </row>
        <row r="1530">
          <cell r="B1530" t="str">
            <v>42886IQD</v>
          </cell>
          <cell r="C1530" t="str">
            <v>42886IRAQ</v>
          </cell>
          <cell r="D1530" t="str">
            <v>IQD</v>
          </cell>
          <cell r="E1530">
            <v>4.2500000000000018</v>
          </cell>
          <cell r="F1530">
            <v>2</v>
          </cell>
          <cell r="G1530" t="str">
            <v>IRAQ</v>
          </cell>
          <cell r="H1530">
            <v>6</v>
          </cell>
        </row>
        <row r="1531">
          <cell r="B1531" t="str">
            <v>42886JPY</v>
          </cell>
          <cell r="C1531" t="str">
            <v>42886JAPAN</v>
          </cell>
          <cell r="D1531" t="str">
            <v>JPY</v>
          </cell>
          <cell r="E1531">
            <v>3.3902732708292396</v>
          </cell>
          <cell r="F1531">
            <v>0.78337234</v>
          </cell>
          <cell r="G1531" t="str">
            <v>JAPAN</v>
          </cell>
          <cell r="H1531">
            <v>4</v>
          </cell>
        </row>
        <row r="1532">
          <cell r="B1532" t="str">
            <v>42886KES</v>
          </cell>
          <cell r="C1532" t="str">
            <v>42886KENYA</v>
          </cell>
          <cell r="D1532" t="str">
            <v>KES</v>
          </cell>
          <cell r="E1532">
            <v>7.5744296183913242</v>
          </cell>
          <cell r="F1532">
            <v>5.9334166666666661</v>
          </cell>
          <cell r="G1532" t="str">
            <v>KENYA</v>
          </cell>
          <cell r="H1532">
            <v>7.5</v>
          </cell>
        </row>
        <row r="1533">
          <cell r="B1533" t="str">
            <v>42886JOD</v>
          </cell>
          <cell r="C1533" t="str">
            <v>42886JORDAN</v>
          </cell>
          <cell r="D1533" t="str">
            <v>JOD</v>
          </cell>
          <cell r="E1533">
            <v>4.7015542266550172</v>
          </cell>
          <cell r="F1533">
            <v>2.2964850000000001</v>
          </cell>
          <cell r="G1533" t="str">
            <v>JORDAN</v>
          </cell>
          <cell r="H1533">
            <v>6</v>
          </cell>
        </row>
        <row r="1534">
          <cell r="B1534" t="str">
            <v>42886KHR</v>
          </cell>
          <cell r="C1534" t="str">
            <v>42886CAMBODIA</v>
          </cell>
          <cell r="D1534" t="str">
            <v>KHR</v>
          </cell>
          <cell r="E1534">
            <v>5.3315755609037154</v>
          </cell>
          <cell r="F1534">
            <v>3.1546666666666665</v>
          </cell>
          <cell r="G1534" t="str">
            <v>CAMBODIA</v>
          </cell>
          <cell r="H1534">
            <v>6</v>
          </cell>
        </row>
        <row r="1535">
          <cell r="B1535" t="str">
            <v>42886KRW</v>
          </cell>
          <cell r="C1535" t="str">
            <v>42886KOREA SOUTH(REPUBLIC OF KOREA)</v>
          </cell>
          <cell r="D1535" t="str">
            <v>KRW</v>
          </cell>
          <cell r="E1535">
            <v>4.1553802906871864</v>
          </cell>
          <cell r="F1535">
            <v>1.8769393999999999</v>
          </cell>
          <cell r="G1535" t="str">
            <v>KOREA SOUTH(REPUBLIC OF KOREA)</v>
          </cell>
          <cell r="H1535">
            <v>5</v>
          </cell>
        </row>
        <row r="1536">
          <cell r="B1536" t="str">
            <v>42886KWD</v>
          </cell>
          <cell r="C1536" t="str">
            <v>42886KUWAIT</v>
          </cell>
          <cell r="D1536" t="str">
            <v>KWD</v>
          </cell>
          <cell r="E1536">
            <v>5.8495378671384914</v>
          </cell>
          <cell r="F1536">
            <v>3.95</v>
          </cell>
          <cell r="G1536" t="str">
            <v>KUWAIT</v>
          </cell>
          <cell r="H1536">
            <v>6</v>
          </cell>
        </row>
        <row r="1537">
          <cell r="B1537" t="str">
            <v>42886LKR</v>
          </cell>
          <cell r="C1537" t="str">
            <v>42886SRI LANKA</v>
          </cell>
          <cell r="D1537" t="str">
            <v>LKR</v>
          </cell>
          <cell r="E1537">
            <v>7.4181043362536316</v>
          </cell>
          <cell r="F1537">
            <v>5.0166225000000004</v>
          </cell>
          <cell r="G1537" t="str">
            <v>SRI LANKA</v>
          </cell>
          <cell r="H1537">
            <v>6</v>
          </cell>
        </row>
        <row r="1538">
          <cell r="B1538" t="str">
            <v>42886KZT</v>
          </cell>
          <cell r="C1538" t="str">
            <v>42886KAZAKHSTAN</v>
          </cell>
          <cell r="D1538" t="str">
            <v>KZT</v>
          </cell>
          <cell r="E1538">
            <v>8.606392591771808</v>
          </cell>
          <cell r="F1538">
            <v>7.6910000000000007</v>
          </cell>
          <cell r="G1538" t="str">
            <v>KAZAKHSTAN</v>
          </cell>
          <cell r="H1538">
            <v>6</v>
          </cell>
        </row>
        <row r="1539">
          <cell r="B1539" t="str">
            <v>42886MAD</v>
          </cell>
          <cell r="C1539" t="str">
            <v>42886MOROCCO</v>
          </cell>
          <cell r="D1539" t="str">
            <v>MAD</v>
          </cell>
          <cell r="E1539">
            <v>3.9894566735280836</v>
          </cell>
          <cell r="F1539">
            <v>1.3250000000000002</v>
          </cell>
          <cell r="G1539" t="str">
            <v>MOROCCO</v>
          </cell>
          <cell r="H1539">
            <v>6</v>
          </cell>
        </row>
        <row r="1540">
          <cell r="B1540" t="str">
            <v>42886MXN</v>
          </cell>
          <cell r="C1540" t="str">
            <v>42886MEXICO</v>
          </cell>
          <cell r="D1540" t="str">
            <v>MXN</v>
          </cell>
          <cell r="E1540">
            <v>5.6326773449980418</v>
          </cell>
          <cell r="F1540">
            <v>4.8321576000000004</v>
          </cell>
          <cell r="G1540" t="str">
            <v>MEXICO</v>
          </cell>
          <cell r="H1540">
            <v>7</v>
          </cell>
        </row>
        <row r="1541">
          <cell r="B1541" t="str">
            <v>42886MYR</v>
          </cell>
          <cell r="C1541" t="str">
            <v>42886MALAYSIA</v>
          </cell>
          <cell r="D1541" t="str">
            <v>MYR</v>
          </cell>
          <cell r="E1541">
            <v>5.1657330619459687</v>
          </cell>
          <cell r="F1541">
            <v>3.2375383000000002</v>
          </cell>
          <cell r="G1541" t="str">
            <v>MALAYSIA</v>
          </cell>
          <cell r="H1541">
            <v>5</v>
          </cell>
        </row>
        <row r="1542">
          <cell r="B1542" t="str">
            <v>42886NGN</v>
          </cell>
          <cell r="C1542" t="str">
            <v>42886NIGERIA</v>
          </cell>
          <cell r="D1542" t="str">
            <v>NGN</v>
          </cell>
          <cell r="E1542">
            <v>18.016464334463471</v>
          </cell>
          <cell r="F1542">
            <v>13.797344000000001</v>
          </cell>
          <cell r="G1542" t="str">
            <v>NIGERIA</v>
          </cell>
          <cell r="H1542">
            <v>8</v>
          </cell>
        </row>
        <row r="1543">
          <cell r="B1543" t="str">
            <v>42886NOK</v>
          </cell>
          <cell r="C1543" t="str">
            <v>42886NORWAY</v>
          </cell>
          <cell r="D1543" t="str">
            <v>NOK</v>
          </cell>
          <cell r="E1543">
            <v>4.7699921996875485</v>
          </cell>
          <cell r="F1543">
            <v>1.9157177999999999</v>
          </cell>
          <cell r="G1543" t="str">
            <v>NORWAY</v>
          </cell>
          <cell r="H1543">
            <v>4</v>
          </cell>
        </row>
        <row r="1544">
          <cell r="B1544" t="str">
            <v>42886NZD</v>
          </cell>
          <cell r="C1544" t="str">
            <v>42886NEW ZEALAND</v>
          </cell>
          <cell r="D1544" t="str">
            <v>NZD</v>
          </cell>
          <cell r="E1544">
            <v>4.1594293184110267</v>
          </cell>
          <cell r="F1544">
            <v>1.9625341999999999</v>
          </cell>
          <cell r="G1544" t="str">
            <v>NEW ZEALAND</v>
          </cell>
          <cell r="H1544">
            <v>4.3904734052139096</v>
          </cell>
        </row>
        <row r="1545">
          <cell r="B1545" t="str">
            <v>42886OMR</v>
          </cell>
          <cell r="C1545" t="str">
            <v>42886OMAN</v>
          </cell>
          <cell r="D1545" t="str">
            <v>OMR</v>
          </cell>
          <cell r="E1545">
            <v>5.5090338726396162</v>
          </cell>
          <cell r="F1545">
            <v>2.2964850000000001</v>
          </cell>
          <cell r="G1545" t="str">
            <v>OMAN</v>
          </cell>
          <cell r="H1545">
            <v>6</v>
          </cell>
        </row>
        <row r="1546">
          <cell r="B1546" t="str">
            <v>42886PEN</v>
          </cell>
          <cell r="C1546" t="str">
            <v>42886PERU</v>
          </cell>
          <cell r="D1546" t="str">
            <v>PEN</v>
          </cell>
          <cell r="E1546">
            <v>4.8757687810486319</v>
          </cell>
          <cell r="F1546">
            <v>2.7824415999999998</v>
          </cell>
          <cell r="G1546" t="str">
            <v>PERU</v>
          </cell>
          <cell r="H1546">
            <v>5</v>
          </cell>
        </row>
        <row r="1547">
          <cell r="B1547" t="str">
            <v>42886PHP</v>
          </cell>
          <cell r="C1547" t="str">
            <v>42886PHILIPPINES</v>
          </cell>
          <cell r="D1547" t="str">
            <v>PHP</v>
          </cell>
          <cell r="E1547">
            <v>5.4347100072790013</v>
          </cell>
          <cell r="F1547">
            <v>3.3176627000000001</v>
          </cell>
          <cell r="G1547" t="str">
            <v>PHILIPPINES</v>
          </cell>
          <cell r="H1547">
            <v>5</v>
          </cell>
        </row>
        <row r="1548">
          <cell r="B1548" t="str">
            <v>42886PKR</v>
          </cell>
          <cell r="C1548" t="str">
            <v>42886PAKISTAN</v>
          </cell>
          <cell r="D1548" t="str">
            <v>PKR</v>
          </cell>
          <cell r="E1548">
            <v>7.1088208615635509</v>
          </cell>
          <cell r="F1548">
            <v>5.0716695999999999</v>
          </cell>
          <cell r="G1548" t="str">
            <v>PAKISTAN</v>
          </cell>
          <cell r="H1548">
            <v>6</v>
          </cell>
        </row>
        <row r="1549">
          <cell r="B1549" t="str">
            <v>42886PLN</v>
          </cell>
          <cell r="C1549" t="str">
            <v>42886POLAND</v>
          </cell>
          <cell r="D1549" t="str">
            <v>PLN</v>
          </cell>
          <cell r="E1549">
            <v>4.6747716227627336</v>
          </cell>
          <cell r="F1549">
            <v>2.0553211999999998</v>
          </cell>
          <cell r="G1549" t="str">
            <v>POLAND</v>
          </cell>
          <cell r="H1549">
            <v>5</v>
          </cell>
        </row>
        <row r="1550">
          <cell r="B1550" t="str">
            <v>42886QAR</v>
          </cell>
          <cell r="C1550" t="str">
            <v>42886QATAR</v>
          </cell>
          <cell r="D1550" t="str">
            <v>QAR</v>
          </cell>
          <cell r="E1550">
            <v>5.366298396200845</v>
          </cell>
          <cell r="F1550">
            <v>2.2964850000000001</v>
          </cell>
          <cell r="G1550" t="str">
            <v>QATAR</v>
          </cell>
          <cell r="H1550">
            <v>6</v>
          </cell>
        </row>
        <row r="1551">
          <cell r="B1551" t="str">
            <v>42886RON</v>
          </cell>
          <cell r="C1551" t="str">
            <v>42886ROMANIA</v>
          </cell>
          <cell r="D1551" t="str">
            <v>RON</v>
          </cell>
          <cell r="E1551">
            <v>4.7219541050939986</v>
          </cell>
          <cell r="F1551">
            <v>1.9615653</v>
          </cell>
          <cell r="G1551" t="str">
            <v>ROMANIA</v>
          </cell>
          <cell r="H1551">
            <v>6</v>
          </cell>
        </row>
        <row r="1552">
          <cell r="B1552" t="str">
            <v>42886RUB</v>
          </cell>
          <cell r="C1552" t="str">
            <v>42886RUSSIAN FEDERATION</v>
          </cell>
          <cell r="D1552" t="str">
            <v>RUB</v>
          </cell>
          <cell r="E1552">
            <v>6.3830399349869262</v>
          </cell>
          <cell r="F1552">
            <v>4.2083054000000004</v>
          </cell>
          <cell r="G1552" t="str">
            <v>RUSSIAN FEDERATION</v>
          </cell>
          <cell r="H1552">
            <v>6</v>
          </cell>
        </row>
        <row r="1553">
          <cell r="B1553" t="str">
            <v>42886SAR</v>
          </cell>
          <cell r="C1553" t="str">
            <v>42886SAUDI ARABIA</v>
          </cell>
          <cell r="D1553" t="str">
            <v>SAR</v>
          </cell>
          <cell r="E1553">
            <v>5.2582653898094724</v>
          </cell>
          <cell r="F1553">
            <v>2.2964850000000001</v>
          </cell>
          <cell r="G1553" t="str">
            <v>SAUDI ARABIA</v>
          </cell>
          <cell r="H1553">
            <v>5</v>
          </cell>
        </row>
        <row r="1554">
          <cell r="B1554" t="str">
            <v>42886SEK</v>
          </cell>
          <cell r="C1554" t="str">
            <v>42886SWEDEN</v>
          </cell>
          <cell r="D1554" t="str">
            <v>SEK</v>
          </cell>
          <cell r="E1554">
            <v>3.9697844507506721</v>
          </cell>
          <cell r="F1554">
            <v>1.6918941999999999</v>
          </cell>
          <cell r="G1554" t="str">
            <v>SWEDEN</v>
          </cell>
          <cell r="H1554">
            <v>4</v>
          </cell>
        </row>
        <row r="1555">
          <cell r="B1555" t="str">
            <v>42886SGD</v>
          </cell>
          <cell r="C1555" t="str">
            <v>42886SINGAPORE</v>
          </cell>
          <cell r="D1555" t="str">
            <v>SGD</v>
          </cell>
          <cell r="E1555">
            <v>3.9694572248692586</v>
          </cell>
          <cell r="F1555">
            <v>1.1466091</v>
          </cell>
          <cell r="G1555" t="str">
            <v>SINGAPORE</v>
          </cell>
          <cell r="H1555">
            <v>4</v>
          </cell>
        </row>
        <row r="1556">
          <cell r="B1556" t="str">
            <v>42886TZS</v>
          </cell>
          <cell r="C1556" t="str">
            <v>42886TANZANIA, UNITED REPUBLIC OF</v>
          </cell>
          <cell r="D1556" t="str">
            <v>TZS</v>
          </cell>
          <cell r="E1556">
            <v>7.2599980957821311</v>
          </cell>
          <cell r="F1556">
            <v>5.0291666666666668</v>
          </cell>
          <cell r="G1556" t="str">
            <v>TANZANIA, UNITED REPUBLIC OF</v>
          </cell>
          <cell r="H1556">
            <v>6</v>
          </cell>
        </row>
        <row r="1557">
          <cell r="B1557" t="str">
            <v>42886THB</v>
          </cell>
          <cell r="C1557" t="str">
            <v>42886THAILAND</v>
          </cell>
          <cell r="D1557" t="str">
            <v>THB</v>
          </cell>
          <cell r="E1557">
            <v>4.2074448455131455</v>
          </cell>
          <cell r="F1557">
            <v>1.5667960000000001</v>
          </cell>
          <cell r="G1557" t="str">
            <v>THAILAND</v>
          </cell>
          <cell r="H1557">
            <v>5</v>
          </cell>
        </row>
        <row r="1558">
          <cell r="B1558" t="str">
            <v>42886TRY</v>
          </cell>
          <cell r="C1558" t="str">
            <v>42886TURKEY</v>
          </cell>
          <cell r="D1558" t="str">
            <v>TRY</v>
          </cell>
          <cell r="E1558">
            <v>10.833899178957122</v>
          </cell>
          <cell r="F1558">
            <v>9.3517880000000009</v>
          </cell>
          <cell r="G1558" t="str">
            <v>TURKEY</v>
          </cell>
          <cell r="H1558">
            <v>5</v>
          </cell>
        </row>
        <row r="1559">
          <cell r="B1559" t="str">
            <v>42886TWD</v>
          </cell>
          <cell r="C1559" t="str">
            <v>42886TAIWAN</v>
          </cell>
          <cell r="D1559" t="str">
            <v>TWD</v>
          </cell>
          <cell r="E1559">
            <v>3.84966558562048</v>
          </cell>
          <cell r="F1559">
            <v>1.4104562</v>
          </cell>
          <cell r="G1559" t="str">
            <v>TAIWAN</v>
          </cell>
          <cell r="H1559">
            <v>5</v>
          </cell>
        </row>
        <row r="1560">
          <cell r="B1560" t="str">
            <v>42886UAH</v>
          </cell>
          <cell r="C1560" t="str">
            <v>42886UKRAINE</v>
          </cell>
          <cell r="D1560" t="str">
            <v>UAH</v>
          </cell>
          <cell r="E1560">
            <v>9.8376385112100042</v>
          </cell>
          <cell r="F1560">
            <v>10.297420499999999</v>
          </cell>
          <cell r="G1560" t="str">
            <v>UKRAINE</v>
          </cell>
          <cell r="H1560">
            <v>6</v>
          </cell>
        </row>
        <row r="1561">
          <cell r="B1561" t="str">
            <v>42886USD</v>
          </cell>
          <cell r="C1561" t="str">
            <v>42886UNITED STATES</v>
          </cell>
          <cell r="D1561" t="str">
            <v>USD</v>
          </cell>
          <cell r="E1561">
            <v>4.6850349946495653</v>
          </cell>
          <cell r="F1561">
            <v>2.2964850000000001</v>
          </cell>
          <cell r="G1561" t="str">
            <v>UNITED STATES</v>
          </cell>
          <cell r="H1561">
            <v>4</v>
          </cell>
        </row>
        <row r="1562">
          <cell r="B1562" t="str">
            <v>42886VND</v>
          </cell>
          <cell r="C1562" t="str">
            <v>42886VIET NAM</v>
          </cell>
          <cell r="D1562" t="str">
            <v>VND</v>
          </cell>
          <cell r="E1562">
            <v>7.2237869151562197</v>
          </cell>
          <cell r="F1562">
            <v>4.3323650000000002</v>
          </cell>
          <cell r="G1562" t="str">
            <v>VIET NAM</v>
          </cell>
          <cell r="H1562">
            <v>6</v>
          </cell>
        </row>
        <row r="1563">
          <cell r="B1563" t="str">
            <v>42886XOF</v>
          </cell>
          <cell r="C1563" t="str">
            <v>42886MALI</v>
          </cell>
          <cell r="D1563" t="str">
            <v>XOF</v>
          </cell>
          <cell r="E1563">
            <v>3.6305950853775784</v>
          </cell>
          <cell r="G1563" t="str">
            <v>MALI</v>
          </cell>
          <cell r="H1563">
            <v>6</v>
          </cell>
        </row>
        <row r="1564">
          <cell r="B1564" t="str">
            <v>42886ZAR</v>
          </cell>
          <cell r="C1564" t="str">
            <v>42886SOUTH AFRICA</v>
          </cell>
          <cell r="D1564" t="str">
            <v>ZAR</v>
          </cell>
          <cell r="E1564">
            <v>7.8838598821293884</v>
          </cell>
          <cell r="F1564">
            <v>5.6377983</v>
          </cell>
          <cell r="G1564" t="str">
            <v>SOUTH AFRICA</v>
          </cell>
          <cell r="H1564">
            <v>5</v>
          </cell>
        </row>
        <row r="1565">
          <cell r="B1565" t="str">
            <v>42886ZMW</v>
          </cell>
          <cell r="C1565" t="str">
            <v>42886ZAMBIA</v>
          </cell>
          <cell r="D1565" t="str">
            <v>ZMW</v>
          </cell>
          <cell r="E1565">
            <v>9.4941884234891063</v>
          </cell>
          <cell r="G1565" t="str">
            <v>ZAMBIA</v>
          </cell>
          <cell r="H1565">
            <v>6</v>
          </cell>
        </row>
        <row r="1566">
          <cell r="B1566" t="str">
            <v>42886EUR1</v>
          </cell>
          <cell r="C1566" t="str">
            <v>42886BELGIUM</v>
          </cell>
          <cell r="D1566" t="str">
            <v>EUR1</v>
          </cell>
          <cell r="E1566">
            <v>3.9335146519612598</v>
          </cell>
          <cell r="G1566" t="str">
            <v>BELGIUM</v>
          </cell>
          <cell r="H1566">
            <v>4</v>
          </cell>
        </row>
        <row r="1567">
          <cell r="B1567" t="str">
            <v>42886EUR2</v>
          </cell>
          <cell r="C1567" t="str">
            <v>42886CYPRUS</v>
          </cell>
          <cell r="D1567" t="str">
            <v>EUR2</v>
          </cell>
          <cell r="E1567">
            <v>3.9335146519612598</v>
          </cell>
          <cell r="G1567" t="str">
            <v>CYPRUS</v>
          </cell>
          <cell r="H1567">
            <v>5</v>
          </cell>
        </row>
        <row r="1568">
          <cell r="B1568" t="str">
            <v>42886EUR3</v>
          </cell>
          <cell r="C1568" t="str">
            <v>42886ESTONIA</v>
          </cell>
          <cell r="D1568" t="str">
            <v>EUR3</v>
          </cell>
          <cell r="E1568">
            <v>3.9335146519612598</v>
          </cell>
          <cell r="G1568" t="str">
            <v>ESTONIA</v>
          </cell>
          <cell r="H1568">
            <v>6</v>
          </cell>
        </row>
        <row r="1569">
          <cell r="B1569" t="str">
            <v>42886EUR4</v>
          </cell>
          <cell r="C1569" t="str">
            <v>42886FINLAND</v>
          </cell>
          <cell r="D1569" t="str">
            <v>EUR4</v>
          </cell>
          <cell r="E1569">
            <v>3.9335146519612598</v>
          </cell>
          <cell r="G1569" t="str">
            <v>FINLAND</v>
          </cell>
          <cell r="H1569">
            <v>4</v>
          </cell>
        </row>
        <row r="1570">
          <cell r="B1570" t="str">
            <v>42886EUR5</v>
          </cell>
          <cell r="C1570" t="str">
            <v>42886FRANCE</v>
          </cell>
          <cell r="D1570" t="str">
            <v>EUR5</v>
          </cell>
          <cell r="E1570">
            <v>3.9335146519612598</v>
          </cell>
          <cell r="G1570" t="str">
            <v>FRANCE</v>
          </cell>
          <cell r="H1570">
            <v>4</v>
          </cell>
        </row>
        <row r="1571">
          <cell r="B1571" t="str">
            <v>42886EUR6</v>
          </cell>
          <cell r="C1571" t="str">
            <v>42886GERMANY</v>
          </cell>
          <cell r="D1571" t="str">
            <v>EUR6</v>
          </cell>
          <cell r="E1571">
            <v>3.9335146519612598</v>
          </cell>
          <cell r="G1571" t="str">
            <v>GERMANY</v>
          </cell>
          <cell r="H1571">
            <v>4.2991145326737055</v>
          </cell>
        </row>
        <row r="1572">
          <cell r="B1572" t="str">
            <v>42886EUR7</v>
          </cell>
          <cell r="C1572" t="str">
            <v>42886GREECE</v>
          </cell>
          <cell r="D1572" t="str">
            <v>EUR7</v>
          </cell>
          <cell r="E1572">
            <v>3.9335146519612598</v>
          </cell>
          <cell r="G1572" t="str">
            <v>GREECE</v>
          </cell>
          <cell r="H1572">
            <v>7</v>
          </cell>
        </row>
        <row r="1573">
          <cell r="B1573" t="str">
            <v>42886EUR8</v>
          </cell>
          <cell r="C1573" t="str">
            <v>42886IRELAND</v>
          </cell>
          <cell r="D1573" t="str">
            <v>EUR8</v>
          </cell>
          <cell r="E1573">
            <v>3.9335146519612598</v>
          </cell>
          <cell r="G1573" t="str">
            <v>IRELAND</v>
          </cell>
          <cell r="H1573">
            <v>4</v>
          </cell>
        </row>
        <row r="1574">
          <cell r="B1574" t="str">
            <v>42886EUR9</v>
          </cell>
          <cell r="C1574" t="str">
            <v>42886ITALY</v>
          </cell>
          <cell r="D1574" t="str">
            <v>EUR9</v>
          </cell>
          <cell r="E1574">
            <v>3.9335146519612598</v>
          </cell>
          <cell r="G1574" t="str">
            <v>ITALY</v>
          </cell>
          <cell r="H1574">
            <v>4</v>
          </cell>
        </row>
        <row r="1575">
          <cell r="B1575" t="str">
            <v>42886EUR10</v>
          </cell>
          <cell r="C1575" t="str">
            <v>42886LATVIA</v>
          </cell>
          <cell r="D1575" t="str">
            <v>EUR10</v>
          </cell>
          <cell r="E1575">
            <v>3.9335146519612598</v>
          </cell>
          <cell r="G1575" t="str">
            <v>LATVIA</v>
          </cell>
          <cell r="H1575">
            <v>6</v>
          </cell>
        </row>
        <row r="1576">
          <cell r="B1576" t="str">
            <v>42886EUR11</v>
          </cell>
          <cell r="C1576" t="str">
            <v>42886LUXEMBOURG</v>
          </cell>
          <cell r="D1576" t="str">
            <v>EUR11</v>
          </cell>
          <cell r="E1576">
            <v>3.9335146519612598</v>
          </cell>
          <cell r="G1576" t="str">
            <v>LUXEMBOURG</v>
          </cell>
          <cell r="H1576">
            <v>4</v>
          </cell>
        </row>
        <row r="1577">
          <cell r="B1577" t="str">
            <v>42886EUR12</v>
          </cell>
          <cell r="C1577" t="str">
            <v>42886MALTA</v>
          </cell>
          <cell r="D1577" t="str">
            <v>EUR12</v>
          </cell>
          <cell r="E1577">
            <v>3.9335146519612598</v>
          </cell>
          <cell r="G1577" t="str">
            <v>MALTA</v>
          </cell>
          <cell r="H1577">
            <v>4</v>
          </cell>
        </row>
        <row r="1578">
          <cell r="B1578" t="str">
            <v>42886EUR13</v>
          </cell>
          <cell r="C1578" t="str">
            <v>42886MONTENEGRO</v>
          </cell>
          <cell r="D1578" t="str">
            <v>EUR13</v>
          </cell>
          <cell r="E1578">
            <v>3.9335146519612598</v>
          </cell>
          <cell r="G1578" t="str">
            <v>MONTENEGRO</v>
          </cell>
          <cell r="H1578">
            <v>6</v>
          </cell>
        </row>
        <row r="1579">
          <cell r="B1579" t="str">
            <v>42886EUR14</v>
          </cell>
          <cell r="C1579" t="str">
            <v>42886NETHERLANDS</v>
          </cell>
          <cell r="D1579" t="str">
            <v>EUR14</v>
          </cell>
          <cell r="E1579">
            <v>3.9335146519612598</v>
          </cell>
          <cell r="G1579" t="str">
            <v>NETHERLANDS</v>
          </cell>
          <cell r="H1579">
            <v>4</v>
          </cell>
        </row>
        <row r="1580">
          <cell r="B1580" t="str">
            <v>42886EUR15</v>
          </cell>
          <cell r="C1580" t="str">
            <v>42886PORTUGAL</v>
          </cell>
          <cell r="D1580" t="str">
            <v>EUR15</v>
          </cell>
          <cell r="E1580">
            <v>3.9335146519612598</v>
          </cell>
          <cell r="G1580" t="str">
            <v>PORTUGAL</v>
          </cell>
          <cell r="H1580">
            <v>4</v>
          </cell>
        </row>
        <row r="1581">
          <cell r="B1581" t="str">
            <v>42886EUR16</v>
          </cell>
          <cell r="C1581" t="str">
            <v>42886SLOVAKIA</v>
          </cell>
          <cell r="D1581" t="str">
            <v>EUR16</v>
          </cell>
          <cell r="E1581">
            <v>3.9335146519612598</v>
          </cell>
          <cell r="G1581" t="str">
            <v>SLOVAKIA</v>
          </cell>
          <cell r="H1581">
            <v>5</v>
          </cell>
        </row>
        <row r="1582">
          <cell r="B1582" t="str">
            <v>42886EUR17</v>
          </cell>
          <cell r="C1582" t="str">
            <v>42886SLOVENIA</v>
          </cell>
          <cell r="D1582" t="str">
            <v>EUR17</v>
          </cell>
          <cell r="E1582">
            <v>3.9335146519612598</v>
          </cell>
          <cell r="G1582" t="str">
            <v>SLOVENIA</v>
          </cell>
          <cell r="H1582">
            <v>6</v>
          </cell>
        </row>
        <row r="1583">
          <cell r="B1583" t="str">
            <v>42886EUR18</v>
          </cell>
          <cell r="C1583" t="str">
            <v>42886SPAIN</v>
          </cell>
          <cell r="D1583" t="str">
            <v>EUR18</v>
          </cell>
          <cell r="E1583">
            <v>3.9335146519612598</v>
          </cell>
          <cell r="G1583" t="str">
            <v>SPAIN</v>
          </cell>
          <cell r="H1583">
            <v>4</v>
          </cell>
        </row>
        <row r="1584">
          <cell r="B1584" t="str">
            <v>42886Eastern European Institutions</v>
          </cell>
          <cell r="C1584" t="str">
            <v>42886Eastern European Institutions</v>
          </cell>
          <cell r="D1584" t="str">
            <v>Eastern European Institutions</v>
          </cell>
          <cell r="E1584">
            <v>2.25</v>
          </cell>
          <cell r="G1584" t="str">
            <v>Eastern European Institutions</v>
          </cell>
          <cell r="H1584">
            <v>5</v>
          </cell>
        </row>
        <row r="1585">
          <cell r="B1585" t="str">
            <v>42916AED</v>
          </cell>
          <cell r="C1585" t="str">
            <v>42916U. A. E.</v>
          </cell>
          <cell r="D1585" t="str">
            <v>AED</v>
          </cell>
          <cell r="E1585">
            <v>5.1093809387827518</v>
          </cell>
          <cell r="F1585">
            <v>2.2297897</v>
          </cell>
          <cell r="G1585" t="str">
            <v>U. A. E.</v>
          </cell>
          <cell r="H1585">
            <v>5</v>
          </cell>
        </row>
        <row r="1586">
          <cell r="B1586" t="str">
            <v>42916ARS</v>
          </cell>
          <cell r="C1586" t="str">
            <v>42916ARGENTINA</v>
          </cell>
          <cell r="D1586" t="str">
            <v>ARS</v>
          </cell>
          <cell r="E1586">
            <v>18.287264117894303</v>
          </cell>
          <cell r="F1586">
            <v>18.742274999999999</v>
          </cell>
          <cell r="G1586" t="str">
            <v>ARGENTINA</v>
          </cell>
          <cell r="H1586">
            <v>6</v>
          </cell>
        </row>
        <row r="1587">
          <cell r="B1587" t="str">
            <v>42916AUD</v>
          </cell>
          <cell r="C1587" t="str">
            <v>42916AUSTRALIA</v>
          </cell>
          <cell r="D1587" t="str">
            <v>AUD</v>
          </cell>
          <cell r="E1587">
            <v>4.6413792060740846</v>
          </cell>
          <cell r="F1587">
            <v>2.2246131999999998</v>
          </cell>
          <cell r="G1587" t="str">
            <v>AUSTRALIA</v>
          </cell>
          <cell r="H1587">
            <v>3.9085235175508517</v>
          </cell>
        </row>
        <row r="1588">
          <cell r="B1588" t="str">
            <v>42916BDT</v>
          </cell>
          <cell r="C1588" t="str">
            <v>42916BANGLADESH</v>
          </cell>
          <cell r="D1588" t="str">
            <v>BDT</v>
          </cell>
          <cell r="E1588">
            <v>8.0367423316922952</v>
          </cell>
          <cell r="F1588">
            <v>5.9897285</v>
          </cell>
          <cell r="G1588" t="str">
            <v>BANGLADESH</v>
          </cell>
          <cell r="H1588">
            <v>6</v>
          </cell>
        </row>
        <row r="1589">
          <cell r="B1589" t="str">
            <v>42916BRL</v>
          </cell>
          <cell r="C1589" t="str">
            <v>42916BRAZIL</v>
          </cell>
          <cell r="D1589" t="str">
            <v>BRL</v>
          </cell>
          <cell r="E1589">
            <v>6.6767729719631221</v>
          </cell>
          <cell r="F1589">
            <v>4.0082370000000003</v>
          </cell>
          <cell r="G1589" t="str">
            <v>BRAZIL</v>
          </cell>
          <cell r="H1589">
            <v>7</v>
          </cell>
        </row>
        <row r="1590">
          <cell r="B1590" t="str">
            <v>42916BWP</v>
          </cell>
          <cell r="C1590" t="str">
            <v>42916BOTSWANA</v>
          </cell>
          <cell r="D1590" t="str">
            <v>BWP</v>
          </cell>
          <cell r="E1590">
            <v>6.6586193958538633</v>
          </cell>
          <cell r="F1590">
            <v>3.8250000000000002</v>
          </cell>
          <cell r="G1590" t="str">
            <v>BOTSWANA</v>
          </cell>
          <cell r="H1590">
            <v>6</v>
          </cell>
        </row>
        <row r="1591">
          <cell r="B1591" t="str">
            <v>42916CAD</v>
          </cell>
          <cell r="C1591" t="str">
            <v>42916CANADA</v>
          </cell>
          <cell r="D1591" t="str">
            <v>CAD</v>
          </cell>
          <cell r="E1591">
            <v>4.2779891198976996</v>
          </cell>
          <cell r="F1591">
            <v>1.9304068000000001</v>
          </cell>
          <cell r="G1591" t="str">
            <v>CANADA</v>
          </cell>
          <cell r="H1591">
            <v>4</v>
          </cell>
        </row>
        <row r="1592">
          <cell r="B1592" t="str">
            <v>42916CHF</v>
          </cell>
          <cell r="C1592" t="str">
            <v>42916SWITZERLAND</v>
          </cell>
          <cell r="D1592" t="str">
            <v>CHF</v>
          </cell>
          <cell r="E1592">
            <v>3.0183997689212907</v>
          </cell>
          <cell r="F1592">
            <v>0.59309374999999998</v>
          </cell>
          <cell r="G1592" t="str">
            <v>SWITZERLAND</v>
          </cell>
          <cell r="H1592">
            <v>4</v>
          </cell>
        </row>
        <row r="1593">
          <cell r="B1593" t="str">
            <v>42916CLP</v>
          </cell>
          <cell r="C1593" t="str">
            <v>42916CHILE</v>
          </cell>
          <cell r="D1593" t="str">
            <v>CLP</v>
          </cell>
          <cell r="E1593">
            <v>5.2175634155198249</v>
          </cell>
          <cell r="F1593">
            <v>2.8630537999999999</v>
          </cell>
          <cell r="G1593" t="str">
            <v>CHILE</v>
          </cell>
          <cell r="H1593">
            <v>5</v>
          </cell>
        </row>
        <row r="1594">
          <cell r="B1594" t="str">
            <v>42916CNY</v>
          </cell>
          <cell r="C1594" t="str">
            <v>42916CHINA</v>
          </cell>
          <cell r="D1594" t="str">
            <v>CNY</v>
          </cell>
          <cell r="E1594">
            <v>4.9095792816651809</v>
          </cell>
          <cell r="F1594">
            <v>2.0558771999999998</v>
          </cell>
          <cell r="G1594" t="str">
            <v>CHINA</v>
          </cell>
          <cell r="H1594">
            <v>5</v>
          </cell>
        </row>
        <row r="1595">
          <cell r="B1595" t="str">
            <v>42916COP</v>
          </cell>
          <cell r="C1595" t="str">
            <v>42916COLOMBIA</v>
          </cell>
          <cell r="D1595" t="str">
            <v>COP</v>
          </cell>
          <cell r="E1595">
            <v>5.5882034990463216</v>
          </cell>
          <cell r="F1595">
            <v>3.8893062999999999</v>
          </cell>
          <cell r="G1595" t="str">
            <v>COLOMBIA</v>
          </cell>
          <cell r="H1595">
            <v>5</v>
          </cell>
        </row>
        <row r="1596">
          <cell r="B1596" t="str">
            <v>42916CZK</v>
          </cell>
          <cell r="C1596" t="str">
            <v>42916CZECH REPUBLIC</v>
          </cell>
          <cell r="D1596" t="str">
            <v>CZK</v>
          </cell>
          <cell r="E1596">
            <v>4.2698746063343043</v>
          </cell>
          <cell r="F1596">
            <v>2.1546850000000002</v>
          </cell>
          <cell r="G1596" t="str">
            <v>CZECH REPUBLIC</v>
          </cell>
          <cell r="H1596">
            <v>5</v>
          </cell>
        </row>
        <row r="1597">
          <cell r="B1597" t="str">
            <v>42916DKK</v>
          </cell>
          <cell r="C1597" t="str">
            <v>42916DENMARK</v>
          </cell>
          <cell r="D1597" t="str">
            <v>DKK</v>
          </cell>
          <cell r="E1597">
            <v>3.7585469925133488</v>
          </cell>
          <cell r="F1597">
            <v>1.3408682000000001</v>
          </cell>
          <cell r="G1597" t="str">
            <v>DENMARK</v>
          </cell>
          <cell r="H1597">
            <v>4</v>
          </cell>
        </row>
        <row r="1598">
          <cell r="B1598" t="str">
            <v>42916EGP</v>
          </cell>
          <cell r="C1598" t="str">
            <v>42916EGYPT</v>
          </cell>
          <cell r="D1598" t="str">
            <v>EGP</v>
          </cell>
          <cell r="E1598">
            <v>15.131558979045815</v>
          </cell>
          <cell r="F1598">
            <v>19.709444000000001</v>
          </cell>
          <cell r="G1598" t="str">
            <v>EGYPT</v>
          </cell>
          <cell r="H1598">
            <v>5</v>
          </cell>
        </row>
        <row r="1599">
          <cell r="B1599" t="str">
            <v>42916EUR</v>
          </cell>
          <cell r="C1599" t="str">
            <v>42916AUSTRIA</v>
          </cell>
          <cell r="D1599" t="str">
            <v>EUR</v>
          </cell>
          <cell r="E1599">
            <v>3.9335146519612598</v>
          </cell>
          <cell r="F1599">
            <v>1.502232</v>
          </cell>
          <cell r="G1599" t="str">
            <v>AUSTRIA</v>
          </cell>
          <cell r="H1599">
            <v>4</v>
          </cell>
        </row>
        <row r="1600">
          <cell r="B1600" t="str">
            <v>42916GBP</v>
          </cell>
          <cell r="C1600" t="str">
            <v>42916UNITED KINGDOM</v>
          </cell>
          <cell r="D1600" t="str">
            <v>GBP</v>
          </cell>
          <cell r="E1600">
            <v>4.5339452983800079</v>
          </cell>
          <cell r="F1600">
            <v>2.6603827</v>
          </cell>
          <cell r="G1600" t="str">
            <v>UNITED KINGDOM</v>
          </cell>
          <cell r="H1600">
            <v>4</v>
          </cell>
        </row>
        <row r="1601">
          <cell r="B1601" t="str">
            <v>42916GEL</v>
          </cell>
          <cell r="C1601" t="str">
            <v>42916GEORGIA</v>
          </cell>
          <cell r="D1601" t="str">
            <v>GEL</v>
          </cell>
          <cell r="E1601">
            <v>5.6562848237417231</v>
          </cell>
          <cell r="F1601">
            <v>4.0365000000000002</v>
          </cell>
          <cell r="G1601" t="str">
            <v>GEORGIA</v>
          </cell>
          <cell r="H1601">
            <v>6</v>
          </cell>
        </row>
        <row r="1602">
          <cell r="B1602" t="str">
            <v>42916HKD</v>
          </cell>
          <cell r="C1602" t="str">
            <v>42916HONG KONG</v>
          </cell>
          <cell r="D1602" t="str">
            <v>HKD</v>
          </cell>
          <cell r="E1602">
            <v>5.0499027236249363</v>
          </cell>
          <cell r="F1602">
            <v>2.2297897</v>
          </cell>
          <cell r="G1602" t="str">
            <v>HONG KONG</v>
          </cell>
          <cell r="H1602">
            <v>4</v>
          </cell>
        </row>
        <row r="1603">
          <cell r="B1603" t="str">
            <v>42916GHS</v>
          </cell>
          <cell r="C1603" t="str">
            <v>42916GHANA</v>
          </cell>
          <cell r="D1603" t="str">
            <v>GHS</v>
          </cell>
          <cell r="E1603">
            <v>10.21886371091956</v>
          </cell>
          <cell r="F1603">
            <v>10.481</v>
          </cell>
          <cell r="G1603" t="str">
            <v>GHANA</v>
          </cell>
          <cell r="H1603">
            <v>6</v>
          </cell>
        </row>
        <row r="1604">
          <cell r="B1604" t="str">
            <v>42916HRK</v>
          </cell>
          <cell r="C1604" t="str">
            <v>42916CROATIA</v>
          </cell>
          <cell r="D1604" t="str">
            <v>HRK</v>
          </cell>
          <cell r="E1604">
            <v>3.6931413263270576</v>
          </cell>
          <cell r="F1604">
            <v>1.0575000000000001</v>
          </cell>
          <cell r="G1604" t="str">
            <v>CROATIA</v>
          </cell>
          <cell r="H1604">
            <v>6</v>
          </cell>
        </row>
        <row r="1605">
          <cell r="B1605" t="str">
            <v>42916HUF</v>
          </cell>
          <cell r="C1605" t="str">
            <v>42916HUNGARY</v>
          </cell>
          <cell r="D1605" t="str">
            <v>HUF</v>
          </cell>
          <cell r="E1605">
            <v>5.2120744952100875</v>
          </cell>
          <cell r="F1605">
            <v>2.6935883</v>
          </cell>
          <cell r="G1605" t="str">
            <v>HUNGARY</v>
          </cell>
          <cell r="H1605">
            <v>5</v>
          </cell>
        </row>
        <row r="1606">
          <cell r="B1606" t="str">
            <v>42916IDR</v>
          </cell>
          <cell r="C1606" t="str">
            <v>42916INDONESIA</v>
          </cell>
          <cell r="D1606" t="str">
            <v>IDR</v>
          </cell>
          <cell r="E1606">
            <v>6.5183465137605792</v>
          </cell>
          <cell r="F1606">
            <v>4.2474090000000002</v>
          </cell>
          <cell r="G1606" t="str">
            <v>INDONESIA</v>
          </cell>
          <cell r="H1606">
            <v>5</v>
          </cell>
        </row>
        <row r="1607">
          <cell r="B1607" t="str">
            <v>42916ILS</v>
          </cell>
          <cell r="C1607" t="str">
            <v>42916ISRAEL</v>
          </cell>
          <cell r="D1607" t="str">
            <v>ILS</v>
          </cell>
          <cell r="E1607">
            <v>3.8541916721622584</v>
          </cell>
          <cell r="F1607">
            <v>1.1413087</v>
          </cell>
          <cell r="G1607" t="str">
            <v>ISRAEL</v>
          </cell>
          <cell r="H1607">
            <v>4</v>
          </cell>
        </row>
        <row r="1608">
          <cell r="B1608" t="str">
            <v>42916INR</v>
          </cell>
          <cell r="C1608" t="str">
            <v>42916INDIA</v>
          </cell>
          <cell r="D1608" t="str">
            <v>INR</v>
          </cell>
          <cell r="E1608">
            <v>7.1717516560317698</v>
          </cell>
          <cell r="F1608">
            <v>4.5547022999999998</v>
          </cell>
          <cell r="G1608" t="str">
            <v>INDIA</v>
          </cell>
          <cell r="H1608">
            <v>5</v>
          </cell>
        </row>
        <row r="1609">
          <cell r="B1609" t="str">
            <v>42916IQD</v>
          </cell>
          <cell r="C1609" t="str">
            <v>42916IRAQ</v>
          </cell>
          <cell r="D1609" t="str">
            <v>IQD</v>
          </cell>
          <cell r="E1609">
            <v>4.2500000000000018</v>
          </cell>
          <cell r="F1609">
            <v>2</v>
          </cell>
          <cell r="G1609" t="str">
            <v>IRAQ</v>
          </cell>
          <cell r="H1609">
            <v>6</v>
          </cell>
        </row>
        <row r="1610">
          <cell r="B1610" t="str">
            <v>42916JPY</v>
          </cell>
          <cell r="C1610" t="str">
            <v>42916JAPAN</v>
          </cell>
          <cell r="D1610" t="str">
            <v>JPY</v>
          </cell>
          <cell r="E1610">
            <v>3.3902732708292396</v>
          </cell>
          <cell r="F1610">
            <v>0.68771064000000004</v>
          </cell>
          <cell r="G1610" t="str">
            <v>JAPAN</v>
          </cell>
          <cell r="H1610">
            <v>4</v>
          </cell>
        </row>
        <row r="1611">
          <cell r="B1611" t="str">
            <v>42916KES</v>
          </cell>
          <cell r="C1611" t="str">
            <v>42916KENYA</v>
          </cell>
          <cell r="D1611" t="str">
            <v>KES</v>
          </cell>
          <cell r="E1611">
            <v>7.5744296183913242</v>
          </cell>
          <cell r="F1611">
            <v>5.8264999999999993</v>
          </cell>
          <cell r="G1611" t="str">
            <v>KENYA</v>
          </cell>
          <cell r="H1611">
            <v>7.5</v>
          </cell>
        </row>
        <row r="1612">
          <cell r="B1612" t="str">
            <v>42916JOD</v>
          </cell>
          <cell r="C1612" t="str">
            <v>42916JORDAN</v>
          </cell>
          <cell r="D1612" t="str">
            <v>JOD</v>
          </cell>
          <cell r="E1612">
            <v>4.7015542266550172</v>
          </cell>
          <cell r="F1612">
            <v>2.2297897</v>
          </cell>
          <cell r="G1612" t="str">
            <v>JORDAN</v>
          </cell>
          <cell r="H1612">
            <v>6</v>
          </cell>
        </row>
        <row r="1613">
          <cell r="B1613" t="str">
            <v>42916KHR</v>
          </cell>
          <cell r="C1613" t="str">
            <v>42916CAMBODIA</v>
          </cell>
          <cell r="D1613" t="str">
            <v>KHR</v>
          </cell>
          <cell r="E1613">
            <v>5.3315755609037154</v>
          </cell>
          <cell r="F1613">
            <v>3.141</v>
          </cell>
          <cell r="G1613" t="str">
            <v>CAMBODIA</v>
          </cell>
          <cell r="H1613">
            <v>6</v>
          </cell>
        </row>
        <row r="1614">
          <cell r="B1614" t="str">
            <v>42916KRW</v>
          </cell>
          <cell r="C1614" t="str">
            <v>42916KOREA SOUTH(REPUBLIC OF KOREA)</v>
          </cell>
          <cell r="D1614" t="str">
            <v>KRW</v>
          </cell>
          <cell r="E1614">
            <v>4.1553802906871864</v>
          </cell>
          <cell r="F1614">
            <v>1.8882428</v>
          </cell>
          <cell r="G1614" t="str">
            <v>KOREA SOUTH(REPUBLIC OF KOREA)</v>
          </cell>
          <cell r="H1614">
            <v>5</v>
          </cell>
        </row>
        <row r="1615">
          <cell r="B1615" t="str">
            <v>42916KWD</v>
          </cell>
          <cell r="C1615" t="str">
            <v>42916KUWAIT</v>
          </cell>
          <cell r="D1615" t="str">
            <v>KWD</v>
          </cell>
          <cell r="E1615">
            <v>5.8495378671384914</v>
          </cell>
          <cell r="F1615">
            <v>3.9000000000000004</v>
          </cell>
          <cell r="G1615" t="str">
            <v>KUWAIT</v>
          </cell>
          <cell r="H1615">
            <v>6</v>
          </cell>
        </row>
        <row r="1616">
          <cell r="B1616" t="str">
            <v>42916LKR</v>
          </cell>
          <cell r="C1616" t="str">
            <v>42916SRI LANKA</v>
          </cell>
          <cell r="D1616" t="str">
            <v>LKR</v>
          </cell>
          <cell r="E1616">
            <v>7.4181043362536316</v>
          </cell>
          <cell r="F1616">
            <v>5.2217874999999996</v>
          </cell>
          <cell r="G1616" t="str">
            <v>SRI LANKA</v>
          </cell>
          <cell r="H1616">
            <v>6</v>
          </cell>
        </row>
        <row r="1617">
          <cell r="B1617" t="str">
            <v>42916KZT</v>
          </cell>
          <cell r="C1617" t="str">
            <v>42916KAZAKHSTAN</v>
          </cell>
          <cell r="D1617" t="str">
            <v>KZT</v>
          </cell>
          <cell r="E1617">
            <v>8.606392591771808</v>
          </cell>
          <cell r="F1617">
            <v>7.6210000000000004</v>
          </cell>
          <cell r="G1617" t="str">
            <v>KAZAKHSTAN</v>
          </cell>
          <cell r="H1617">
            <v>6</v>
          </cell>
        </row>
        <row r="1618">
          <cell r="B1618" t="str">
            <v>42916MAD</v>
          </cell>
          <cell r="C1618" t="str">
            <v>42916MOROCCO</v>
          </cell>
          <cell r="D1618" t="str">
            <v>MAD</v>
          </cell>
          <cell r="E1618">
            <v>3.9894566735280836</v>
          </cell>
          <cell r="F1618">
            <v>1.35</v>
          </cell>
          <cell r="G1618" t="str">
            <v>MOROCCO</v>
          </cell>
          <cell r="H1618">
            <v>6</v>
          </cell>
        </row>
        <row r="1619">
          <cell r="B1619" t="str">
            <v>42916MXN</v>
          </cell>
          <cell r="C1619" t="str">
            <v>42916MEXICO</v>
          </cell>
          <cell r="D1619" t="str">
            <v>MXN</v>
          </cell>
          <cell r="E1619">
            <v>5.6326773449980418</v>
          </cell>
          <cell r="F1619">
            <v>4.8649205999999996</v>
          </cell>
          <cell r="G1619" t="str">
            <v>MEXICO</v>
          </cell>
          <cell r="H1619">
            <v>7</v>
          </cell>
        </row>
        <row r="1620">
          <cell r="B1620" t="str">
            <v>42916MYR</v>
          </cell>
          <cell r="C1620" t="str">
            <v>42916MALAYSIA</v>
          </cell>
          <cell r="D1620" t="str">
            <v>MYR</v>
          </cell>
          <cell r="E1620">
            <v>5.1657330619459687</v>
          </cell>
          <cell r="F1620">
            <v>3.22641</v>
          </cell>
          <cell r="G1620" t="str">
            <v>MALAYSIA</v>
          </cell>
          <cell r="H1620">
            <v>5</v>
          </cell>
        </row>
        <row r="1621">
          <cell r="B1621" t="str">
            <v>42916NGN</v>
          </cell>
          <cell r="C1621" t="str">
            <v>42916NIGERIA</v>
          </cell>
          <cell r="D1621" t="str">
            <v>NGN</v>
          </cell>
          <cell r="E1621">
            <v>18.016464334463471</v>
          </cell>
          <cell r="F1621">
            <v>13.91987</v>
          </cell>
          <cell r="G1621" t="str">
            <v>NIGERIA</v>
          </cell>
          <cell r="H1621">
            <v>8</v>
          </cell>
        </row>
        <row r="1622">
          <cell r="B1622" t="str">
            <v>42916NOK</v>
          </cell>
          <cell r="C1622" t="str">
            <v>42916NORWAY</v>
          </cell>
          <cell r="D1622" t="str">
            <v>NOK</v>
          </cell>
          <cell r="E1622">
            <v>4.7699921996875485</v>
          </cell>
          <cell r="F1622">
            <v>1.8744826000000001</v>
          </cell>
          <cell r="G1622" t="str">
            <v>NORWAY</v>
          </cell>
          <cell r="H1622">
            <v>4</v>
          </cell>
        </row>
        <row r="1623">
          <cell r="B1623" t="str">
            <v>42916NZD</v>
          </cell>
          <cell r="C1623" t="str">
            <v>42916NEW ZEALAND</v>
          </cell>
          <cell r="D1623" t="str">
            <v>NZD</v>
          </cell>
          <cell r="E1623">
            <v>4.1594293184110267</v>
          </cell>
          <cell r="F1623">
            <v>1.9227593000000001</v>
          </cell>
          <cell r="G1623" t="str">
            <v>NEW ZEALAND</v>
          </cell>
          <cell r="H1623">
            <v>4.3904734052139096</v>
          </cell>
        </row>
        <row r="1624">
          <cell r="B1624" t="str">
            <v>42916OMR</v>
          </cell>
          <cell r="C1624" t="str">
            <v>42916OMAN</v>
          </cell>
          <cell r="D1624" t="str">
            <v>OMR</v>
          </cell>
          <cell r="E1624">
            <v>5.5090338726396162</v>
          </cell>
          <cell r="F1624">
            <v>2.2297897</v>
          </cell>
          <cell r="G1624" t="str">
            <v>OMAN</v>
          </cell>
          <cell r="H1624">
            <v>6</v>
          </cell>
        </row>
        <row r="1625">
          <cell r="B1625" t="str">
            <v>42916PEN</v>
          </cell>
          <cell r="C1625" t="str">
            <v>42916PERU</v>
          </cell>
          <cell r="D1625" t="str">
            <v>PEN</v>
          </cell>
          <cell r="E1625">
            <v>4.8757687810486319</v>
          </cell>
          <cell r="F1625">
            <v>2.6874142000000001</v>
          </cell>
          <cell r="G1625" t="str">
            <v>PERU</v>
          </cell>
          <cell r="H1625">
            <v>5</v>
          </cell>
        </row>
        <row r="1626">
          <cell r="B1626" t="str">
            <v>42916PHP</v>
          </cell>
          <cell r="C1626" t="str">
            <v>42916PHILIPPINES</v>
          </cell>
          <cell r="D1626" t="str">
            <v>PHP</v>
          </cell>
          <cell r="E1626">
            <v>5.4347100072790013</v>
          </cell>
          <cell r="F1626">
            <v>3.3436843999999999</v>
          </cell>
          <cell r="G1626" t="str">
            <v>PHILIPPINES</v>
          </cell>
          <cell r="H1626">
            <v>5</v>
          </cell>
        </row>
        <row r="1627">
          <cell r="B1627" t="str">
            <v>42916PKR</v>
          </cell>
          <cell r="C1627" t="str">
            <v>42916PAKISTAN</v>
          </cell>
          <cell r="D1627" t="str">
            <v>PKR</v>
          </cell>
          <cell r="E1627">
            <v>7.1088208615635509</v>
          </cell>
          <cell r="F1627">
            <v>4.8271556000000002</v>
          </cell>
          <cell r="G1627" t="str">
            <v>PAKISTAN</v>
          </cell>
          <cell r="H1627">
            <v>6</v>
          </cell>
        </row>
        <row r="1628">
          <cell r="B1628" t="str">
            <v>42916PLN</v>
          </cell>
          <cell r="C1628" t="str">
            <v>42916POLAND</v>
          </cell>
          <cell r="D1628" t="str">
            <v>PLN</v>
          </cell>
          <cell r="E1628">
            <v>4.6747716227627336</v>
          </cell>
          <cell r="F1628">
            <v>2.0017052</v>
          </cell>
          <cell r="G1628" t="str">
            <v>POLAND</v>
          </cell>
          <cell r="H1628">
            <v>5</v>
          </cell>
        </row>
        <row r="1629">
          <cell r="B1629" t="str">
            <v>42916QAR</v>
          </cell>
          <cell r="C1629" t="str">
            <v>42916QATAR</v>
          </cell>
          <cell r="D1629" t="str">
            <v>QAR</v>
          </cell>
          <cell r="E1629">
            <v>5.366298396200845</v>
          </cell>
          <cell r="F1629">
            <v>2.2297897</v>
          </cell>
          <cell r="G1629" t="str">
            <v>QATAR</v>
          </cell>
          <cell r="H1629">
            <v>6</v>
          </cell>
        </row>
        <row r="1630">
          <cell r="B1630" t="str">
            <v>42916RON</v>
          </cell>
          <cell r="C1630" t="str">
            <v>42916ROMANIA</v>
          </cell>
          <cell r="D1630" t="str">
            <v>RON</v>
          </cell>
          <cell r="E1630">
            <v>4.7219541050939986</v>
          </cell>
          <cell r="F1630">
            <v>2.0328542999999999</v>
          </cell>
          <cell r="G1630" t="str">
            <v>ROMANIA</v>
          </cell>
          <cell r="H1630">
            <v>6</v>
          </cell>
        </row>
        <row r="1631">
          <cell r="B1631" t="str">
            <v>42916RUB</v>
          </cell>
          <cell r="C1631" t="str">
            <v>42916RUSSIAN FEDERATION</v>
          </cell>
          <cell r="D1631" t="str">
            <v>RUB</v>
          </cell>
          <cell r="E1631">
            <v>6.3830399349869262</v>
          </cell>
          <cell r="F1631">
            <v>4.0916758</v>
          </cell>
          <cell r="G1631" t="str">
            <v>RUSSIAN FEDERATION</v>
          </cell>
          <cell r="H1631">
            <v>6</v>
          </cell>
        </row>
        <row r="1632">
          <cell r="B1632" t="str">
            <v>42916SAR</v>
          </cell>
          <cell r="C1632" t="str">
            <v>42916SAUDI ARABIA</v>
          </cell>
          <cell r="D1632" t="str">
            <v>SAR</v>
          </cell>
          <cell r="E1632">
            <v>5.2582653898094724</v>
          </cell>
          <cell r="F1632">
            <v>2.2297897</v>
          </cell>
          <cell r="G1632" t="str">
            <v>SAUDI ARABIA</v>
          </cell>
          <cell r="H1632">
            <v>5</v>
          </cell>
        </row>
        <row r="1633">
          <cell r="B1633" t="str">
            <v>42916SEK</v>
          </cell>
          <cell r="C1633" t="str">
            <v>42916SWEDEN</v>
          </cell>
          <cell r="D1633" t="str">
            <v>SEK</v>
          </cell>
          <cell r="E1633">
            <v>3.9697844507506721</v>
          </cell>
          <cell r="F1633">
            <v>1.7318351999999999</v>
          </cell>
          <cell r="G1633" t="str">
            <v>SWEDEN</v>
          </cell>
          <cell r="H1633">
            <v>4</v>
          </cell>
        </row>
        <row r="1634">
          <cell r="B1634" t="str">
            <v>42916SGD</v>
          </cell>
          <cell r="C1634" t="str">
            <v>42916SINGAPORE</v>
          </cell>
          <cell r="D1634" t="str">
            <v>SGD</v>
          </cell>
          <cell r="E1634">
            <v>3.9694572248692586</v>
          </cell>
          <cell r="F1634">
            <v>1.1856458000000001</v>
          </cell>
          <cell r="G1634" t="str">
            <v>SINGAPORE</v>
          </cell>
          <cell r="H1634">
            <v>4</v>
          </cell>
        </row>
        <row r="1635">
          <cell r="B1635" t="str">
            <v>42916TZS</v>
          </cell>
          <cell r="C1635" t="str">
            <v>42916TANZANIA, UNITED REPUBLIC OF</v>
          </cell>
          <cell r="D1635" t="str">
            <v>TZS</v>
          </cell>
          <cell r="E1635">
            <v>7.2599980957821311</v>
          </cell>
          <cell r="F1635">
            <v>5.0250000000000004</v>
          </cell>
          <cell r="G1635" t="str">
            <v>TANZANIA, UNITED REPUBLIC OF</v>
          </cell>
          <cell r="H1635">
            <v>6</v>
          </cell>
        </row>
        <row r="1636">
          <cell r="B1636" t="str">
            <v>42916THB</v>
          </cell>
          <cell r="C1636" t="str">
            <v>42916THAILAND</v>
          </cell>
          <cell r="D1636" t="str">
            <v>THB</v>
          </cell>
          <cell r="E1636">
            <v>4.2074448455131455</v>
          </cell>
          <cell r="F1636">
            <v>1.3713598</v>
          </cell>
          <cell r="G1636" t="str">
            <v>THAILAND</v>
          </cell>
          <cell r="H1636">
            <v>5</v>
          </cell>
        </row>
        <row r="1637">
          <cell r="B1637" t="str">
            <v>42916TRY</v>
          </cell>
          <cell r="C1637" t="str">
            <v>42916TURKEY</v>
          </cell>
          <cell r="D1637" t="str">
            <v>TRY</v>
          </cell>
          <cell r="E1637">
            <v>10.833899178957122</v>
          </cell>
          <cell r="F1637">
            <v>9.3093815000000006</v>
          </cell>
          <cell r="G1637" t="str">
            <v>TURKEY</v>
          </cell>
          <cell r="H1637">
            <v>5</v>
          </cell>
        </row>
        <row r="1638">
          <cell r="B1638" t="str">
            <v>42916TWD</v>
          </cell>
          <cell r="C1638" t="str">
            <v>42916TAIWAN</v>
          </cell>
          <cell r="D1638" t="str">
            <v>TWD</v>
          </cell>
          <cell r="E1638">
            <v>3.84966558562048</v>
          </cell>
          <cell r="F1638">
            <v>1.2587615999999999</v>
          </cell>
          <cell r="G1638" t="str">
            <v>TAIWAN</v>
          </cell>
          <cell r="H1638">
            <v>5</v>
          </cell>
        </row>
        <row r="1639">
          <cell r="B1639" t="str">
            <v>42916UAH</v>
          </cell>
          <cell r="C1639" t="str">
            <v>42916UKRAINE</v>
          </cell>
          <cell r="D1639" t="str">
            <v>UAH</v>
          </cell>
          <cell r="E1639">
            <v>9.8376385112100042</v>
          </cell>
          <cell r="F1639">
            <v>10.078611</v>
          </cell>
          <cell r="G1639" t="str">
            <v>UKRAINE</v>
          </cell>
          <cell r="H1639">
            <v>6</v>
          </cell>
        </row>
        <row r="1640">
          <cell r="B1640" t="str">
            <v>42916USD</v>
          </cell>
          <cell r="C1640" t="str">
            <v>42916UNITED STATES</v>
          </cell>
          <cell r="D1640" t="str">
            <v>USD</v>
          </cell>
          <cell r="E1640">
            <v>4.6850349946495653</v>
          </cell>
          <cell r="F1640">
            <v>2.2297897</v>
          </cell>
          <cell r="G1640" t="str">
            <v>UNITED STATES</v>
          </cell>
          <cell r="H1640">
            <v>4</v>
          </cell>
        </row>
        <row r="1641">
          <cell r="B1641" t="str">
            <v>42916VND</v>
          </cell>
          <cell r="C1641" t="str">
            <v>42916VIET NAM</v>
          </cell>
          <cell r="D1641" t="str">
            <v>VND</v>
          </cell>
          <cell r="E1641">
            <v>7.2237869151562197</v>
          </cell>
          <cell r="F1641">
            <v>4.4116669999999996</v>
          </cell>
          <cell r="G1641" t="str">
            <v>VIET NAM</v>
          </cell>
          <cell r="H1641">
            <v>6</v>
          </cell>
        </row>
        <row r="1642">
          <cell r="B1642" t="str">
            <v>42916XOF</v>
          </cell>
          <cell r="C1642" t="str">
            <v>42916MALI</v>
          </cell>
          <cell r="D1642" t="str">
            <v>XOF</v>
          </cell>
          <cell r="E1642">
            <v>3.6305950853775784</v>
          </cell>
          <cell r="G1642" t="str">
            <v>MALI</v>
          </cell>
          <cell r="H1642">
            <v>6</v>
          </cell>
        </row>
        <row r="1643">
          <cell r="B1643" t="str">
            <v>42916ZAR</v>
          </cell>
          <cell r="C1643" t="str">
            <v>42916SOUTH AFRICA</v>
          </cell>
          <cell r="D1643" t="str">
            <v>ZAR</v>
          </cell>
          <cell r="E1643">
            <v>7.8838598821293884</v>
          </cell>
          <cell r="F1643">
            <v>5.5264854000000003</v>
          </cell>
          <cell r="G1643" t="str">
            <v>SOUTH AFRICA</v>
          </cell>
          <cell r="H1643">
            <v>5</v>
          </cell>
        </row>
        <row r="1644">
          <cell r="B1644" t="str">
            <v>42916ZMW</v>
          </cell>
          <cell r="C1644" t="str">
            <v>42916ZAMBIA</v>
          </cell>
          <cell r="D1644" t="str">
            <v>ZMW</v>
          </cell>
          <cell r="E1644">
            <v>9.4941884234891063</v>
          </cell>
          <cell r="G1644" t="str">
            <v>ZAMBIA</v>
          </cell>
          <cell r="H1644">
            <v>6</v>
          </cell>
        </row>
        <row r="1645">
          <cell r="B1645" t="str">
            <v>42916EUR1</v>
          </cell>
          <cell r="C1645" t="str">
            <v>42916BELGIUM</v>
          </cell>
          <cell r="D1645" t="str">
            <v>EUR1</v>
          </cell>
          <cell r="E1645">
            <v>3.9335146519612598</v>
          </cell>
          <cell r="G1645" t="str">
            <v>BELGIUM</v>
          </cell>
          <cell r="H1645">
            <v>4</v>
          </cell>
        </row>
        <row r="1646">
          <cell r="B1646" t="str">
            <v>42916EUR2</v>
          </cell>
          <cell r="C1646" t="str">
            <v>42916CYPRUS</v>
          </cell>
          <cell r="D1646" t="str">
            <v>EUR2</v>
          </cell>
          <cell r="E1646">
            <v>3.9335146519612598</v>
          </cell>
          <cell r="G1646" t="str">
            <v>CYPRUS</v>
          </cell>
          <cell r="H1646">
            <v>5</v>
          </cell>
        </row>
        <row r="1647">
          <cell r="B1647" t="str">
            <v>42916EUR3</v>
          </cell>
          <cell r="C1647" t="str">
            <v>42916ESTONIA</v>
          </cell>
          <cell r="D1647" t="str">
            <v>EUR3</v>
          </cell>
          <cell r="E1647">
            <v>3.9335146519612598</v>
          </cell>
          <cell r="G1647" t="str">
            <v>ESTONIA</v>
          </cell>
          <cell r="H1647">
            <v>6</v>
          </cell>
        </row>
        <row r="1648">
          <cell r="B1648" t="str">
            <v>42916EUR4</v>
          </cell>
          <cell r="C1648" t="str">
            <v>42916FINLAND</v>
          </cell>
          <cell r="D1648" t="str">
            <v>EUR4</v>
          </cell>
          <cell r="E1648">
            <v>3.9335146519612598</v>
          </cell>
          <cell r="G1648" t="str">
            <v>FINLAND</v>
          </cell>
          <cell r="H1648">
            <v>4</v>
          </cell>
        </row>
        <row r="1649">
          <cell r="B1649" t="str">
            <v>42916EUR5</v>
          </cell>
          <cell r="C1649" t="str">
            <v>42916FRANCE</v>
          </cell>
          <cell r="D1649" t="str">
            <v>EUR5</v>
          </cell>
          <cell r="E1649">
            <v>3.9335146519612598</v>
          </cell>
          <cell r="G1649" t="str">
            <v>FRANCE</v>
          </cell>
          <cell r="H1649">
            <v>4</v>
          </cell>
        </row>
        <row r="1650">
          <cell r="B1650" t="str">
            <v>42916EUR6</v>
          </cell>
          <cell r="C1650" t="str">
            <v>42916GERMANY</v>
          </cell>
          <cell r="D1650" t="str">
            <v>EUR6</v>
          </cell>
          <cell r="E1650">
            <v>3.9335146519612598</v>
          </cell>
          <cell r="G1650" t="str">
            <v>GERMANY</v>
          </cell>
          <cell r="H1650">
            <v>4.2991145326737055</v>
          </cell>
        </row>
        <row r="1651">
          <cell r="B1651" t="str">
            <v>42916EUR7</v>
          </cell>
          <cell r="C1651" t="str">
            <v>42916GREECE</v>
          </cell>
          <cell r="D1651" t="str">
            <v>EUR7</v>
          </cell>
          <cell r="E1651">
            <v>3.9335146519612598</v>
          </cell>
          <cell r="G1651" t="str">
            <v>GREECE</v>
          </cell>
          <cell r="H1651">
            <v>7</v>
          </cell>
        </row>
        <row r="1652">
          <cell r="B1652" t="str">
            <v>42916EUR8</v>
          </cell>
          <cell r="C1652" t="str">
            <v>42916IRELAND</v>
          </cell>
          <cell r="D1652" t="str">
            <v>EUR8</v>
          </cell>
          <cell r="E1652">
            <v>3.9335146519612598</v>
          </cell>
          <cell r="G1652" t="str">
            <v>IRELAND</v>
          </cell>
          <cell r="H1652">
            <v>4</v>
          </cell>
        </row>
        <row r="1653">
          <cell r="B1653" t="str">
            <v>42916EUR9</v>
          </cell>
          <cell r="C1653" t="str">
            <v>42916ITALY</v>
          </cell>
          <cell r="D1653" t="str">
            <v>EUR9</v>
          </cell>
          <cell r="E1653">
            <v>3.9335146519612598</v>
          </cell>
          <cell r="G1653" t="str">
            <v>ITALY</v>
          </cell>
          <cell r="H1653">
            <v>4</v>
          </cell>
        </row>
        <row r="1654">
          <cell r="B1654" t="str">
            <v>42916EUR10</v>
          </cell>
          <cell r="C1654" t="str">
            <v>42916LATVIA</v>
          </cell>
          <cell r="D1654" t="str">
            <v>EUR10</v>
          </cell>
          <cell r="E1654">
            <v>3.9335146519612598</v>
          </cell>
          <cell r="G1654" t="str">
            <v>LATVIA</v>
          </cell>
          <cell r="H1654">
            <v>6</v>
          </cell>
        </row>
        <row r="1655">
          <cell r="B1655" t="str">
            <v>42916EUR11</v>
          </cell>
          <cell r="C1655" t="str">
            <v>42916LUXEMBOURG</v>
          </cell>
          <cell r="D1655" t="str">
            <v>EUR11</v>
          </cell>
          <cell r="E1655">
            <v>3.9335146519612598</v>
          </cell>
          <cell r="G1655" t="str">
            <v>LUXEMBOURG</v>
          </cell>
          <cell r="H1655">
            <v>4</v>
          </cell>
        </row>
        <row r="1656">
          <cell r="B1656" t="str">
            <v>42916EUR12</v>
          </cell>
          <cell r="C1656" t="str">
            <v>42916MALTA</v>
          </cell>
          <cell r="D1656" t="str">
            <v>EUR12</v>
          </cell>
          <cell r="E1656">
            <v>3.9335146519612598</v>
          </cell>
          <cell r="G1656" t="str">
            <v>MALTA</v>
          </cell>
          <cell r="H1656">
            <v>4</v>
          </cell>
        </row>
        <row r="1657">
          <cell r="B1657" t="str">
            <v>42916EUR13</v>
          </cell>
          <cell r="C1657" t="str">
            <v>42916MONTENEGRO</v>
          </cell>
          <cell r="D1657" t="str">
            <v>EUR13</v>
          </cell>
          <cell r="E1657">
            <v>3.9335146519612598</v>
          </cell>
          <cell r="G1657" t="str">
            <v>MONTENEGRO</v>
          </cell>
          <cell r="H1657">
            <v>6</v>
          </cell>
        </row>
        <row r="1658">
          <cell r="B1658" t="str">
            <v>42916EUR14</v>
          </cell>
          <cell r="C1658" t="str">
            <v>42916NETHERLANDS</v>
          </cell>
          <cell r="D1658" t="str">
            <v>EUR14</v>
          </cell>
          <cell r="E1658">
            <v>3.9335146519612598</v>
          </cell>
          <cell r="G1658" t="str">
            <v>NETHERLANDS</v>
          </cell>
          <cell r="H1658">
            <v>4</v>
          </cell>
        </row>
        <row r="1659">
          <cell r="B1659" t="str">
            <v>42916EUR15</v>
          </cell>
          <cell r="C1659" t="str">
            <v>42916PORTUGAL</v>
          </cell>
          <cell r="D1659" t="str">
            <v>EUR15</v>
          </cell>
          <cell r="E1659">
            <v>3.9335146519612598</v>
          </cell>
          <cell r="G1659" t="str">
            <v>PORTUGAL</v>
          </cell>
          <cell r="H1659">
            <v>4</v>
          </cell>
        </row>
        <row r="1660">
          <cell r="B1660" t="str">
            <v>42916EUR16</v>
          </cell>
          <cell r="C1660" t="str">
            <v>42916SLOVAKIA</v>
          </cell>
          <cell r="D1660" t="str">
            <v>EUR16</v>
          </cell>
          <cell r="E1660">
            <v>3.9335146519612598</v>
          </cell>
          <cell r="G1660" t="str">
            <v>SLOVAKIA</v>
          </cell>
          <cell r="H1660">
            <v>5</v>
          </cell>
        </row>
        <row r="1661">
          <cell r="B1661" t="str">
            <v>42916EUR17</v>
          </cell>
          <cell r="C1661" t="str">
            <v>42916SLOVENIA</v>
          </cell>
          <cell r="D1661" t="str">
            <v>EUR17</v>
          </cell>
          <cell r="E1661">
            <v>3.9335146519612598</v>
          </cell>
          <cell r="G1661" t="str">
            <v>SLOVENIA</v>
          </cell>
          <cell r="H1661">
            <v>6</v>
          </cell>
        </row>
        <row r="1662">
          <cell r="B1662" t="str">
            <v>42916EUR18</v>
          </cell>
          <cell r="C1662" t="str">
            <v>42916SPAIN</v>
          </cell>
          <cell r="D1662" t="str">
            <v>EUR18</v>
          </cell>
          <cell r="E1662">
            <v>3.9335146519612598</v>
          </cell>
          <cell r="G1662" t="str">
            <v>SPAIN</v>
          </cell>
          <cell r="H1662">
            <v>4</v>
          </cell>
        </row>
        <row r="1663">
          <cell r="B1663" t="str">
            <v>42916Eastern European Institutions</v>
          </cell>
          <cell r="C1663" t="str">
            <v>42916Eastern European Institutions</v>
          </cell>
          <cell r="D1663" t="str">
            <v>Eastern European Institutions</v>
          </cell>
          <cell r="E1663">
            <v>2.25</v>
          </cell>
          <cell r="G1663" t="str">
            <v>Eastern European Institutions</v>
          </cell>
          <cell r="H1663">
            <v>5</v>
          </cell>
        </row>
        <row r="1664">
          <cell r="B1664" t="str">
            <v>42947AED</v>
          </cell>
          <cell r="C1664" t="str">
            <v>42947U. A. E.</v>
          </cell>
          <cell r="D1664" t="str">
            <v>AED</v>
          </cell>
          <cell r="E1664">
            <v>5.1093809387827518</v>
          </cell>
          <cell r="F1664">
            <v>2.0791870000000001</v>
          </cell>
          <cell r="G1664" t="str">
            <v>U. A. E.</v>
          </cell>
          <cell r="H1664">
            <v>5</v>
          </cell>
        </row>
        <row r="1665">
          <cell r="B1665" t="str">
            <v>42947ARS</v>
          </cell>
          <cell r="C1665" t="str">
            <v>42947ARGENTINA</v>
          </cell>
          <cell r="D1665" t="str">
            <v>ARS</v>
          </cell>
          <cell r="E1665">
            <v>18.287264117894303</v>
          </cell>
          <cell r="F1665">
            <v>18.046848000000001</v>
          </cell>
          <cell r="G1665" t="str">
            <v>ARGENTINA</v>
          </cell>
          <cell r="H1665">
            <v>6</v>
          </cell>
        </row>
        <row r="1666">
          <cell r="B1666" t="str">
            <v>42947AUD</v>
          </cell>
          <cell r="C1666" t="str">
            <v>42947AUSTRALIA</v>
          </cell>
          <cell r="D1666" t="str">
            <v>AUD</v>
          </cell>
          <cell r="E1666">
            <v>4.6413792060740846</v>
          </cell>
          <cell r="F1666">
            <v>2.2647526</v>
          </cell>
          <cell r="G1666" t="str">
            <v>AUSTRALIA</v>
          </cell>
          <cell r="H1666">
            <v>3.9085235175508517</v>
          </cell>
        </row>
        <row r="1667">
          <cell r="B1667" t="str">
            <v>42947BDT</v>
          </cell>
          <cell r="C1667" t="str">
            <v>42947BANGLADESH</v>
          </cell>
          <cell r="D1667" t="str">
            <v>BDT</v>
          </cell>
          <cell r="E1667">
            <v>8.0367423316922952</v>
          </cell>
          <cell r="F1667">
            <v>5.9686593999999999</v>
          </cell>
          <cell r="G1667" t="str">
            <v>BANGLADESH</v>
          </cell>
          <cell r="H1667">
            <v>6</v>
          </cell>
        </row>
        <row r="1668">
          <cell r="B1668" t="str">
            <v>42947BRL</v>
          </cell>
          <cell r="C1668" t="str">
            <v>42947BRAZIL</v>
          </cell>
          <cell r="D1668" t="str">
            <v>BRL</v>
          </cell>
          <cell r="E1668">
            <v>6.6767729719631221</v>
          </cell>
          <cell r="F1668">
            <v>3.8591069999999998</v>
          </cell>
          <cell r="G1668" t="str">
            <v>BRAZIL</v>
          </cell>
          <cell r="H1668">
            <v>7</v>
          </cell>
        </row>
        <row r="1669">
          <cell r="B1669" t="str">
            <v>42947BWP</v>
          </cell>
          <cell r="C1669" t="str">
            <v>42947BOTSWANA</v>
          </cell>
          <cell r="D1669" t="str">
            <v>BWP</v>
          </cell>
          <cell r="E1669">
            <v>6.6586193958538633</v>
          </cell>
          <cell r="F1669">
            <v>3.8875000000000002</v>
          </cell>
          <cell r="G1669" t="str">
            <v>BOTSWANA</v>
          </cell>
          <cell r="H1669">
            <v>6</v>
          </cell>
        </row>
        <row r="1670">
          <cell r="B1670" t="str">
            <v>42947CAD</v>
          </cell>
          <cell r="C1670" t="str">
            <v>42947CANADA</v>
          </cell>
          <cell r="D1670" t="str">
            <v>CAD</v>
          </cell>
          <cell r="E1670">
            <v>4.2779891198976996</v>
          </cell>
          <cell r="F1670">
            <v>1.8408576999999999</v>
          </cell>
          <cell r="G1670" t="str">
            <v>CANADA</v>
          </cell>
          <cell r="H1670">
            <v>4</v>
          </cell>
        </row>
        <row r="1671">
          <cell r="B1671" t="str">
            <v>42947CHF</v>
          </cell>
          <cell r="C1671" t="str">
            <v>42947SWITZERLAND</v>
          </cell>
          <cell r="D1671" t="str">
            <v>CHF</v>
          </cell>
          <cell r="E1671">
            <v>3.0183997689212907</v>
          </cell>
          <cell r="F1671">
            <v>0.59176779999999995</v>
          </cell>
          <cell r="G1671" t="str">
            <v>SWITZERLAND</v>
          </cell>
          <cell r="H1671">
            <v>4</v>
          </cell>
        </row>
        <row r="1672">
          <cell r="B1672" t="str">
            <v>42947CLP</v>
          </cell>
          <cell r="C1672" t="str">
            <v>42947CHILE</v>
          </cell>
          <cell r="D1672" t="str">
            <v>CLP</v>
          </cell>
          <cell r="E1672">
            <v>5.2175634155198249</v>
          </cell>
          <cell r="F1672">
            <v>2.6772542000000001</v>
          </cell>
          <cell r="G1672" t="str">
            <v>CHILE</v>
          </cell>
          <cell r="H1672">
            <v>5</v>
          </cell>
        </row>
        <row r="1673">
          <cell r="B1673" t="str">
            <v>42947CNY</v>
          </cell>
          <cell r="C1673" t="str">
            <v>42947CHINA</v>
          </cell>
          <cell r="D1673" t="str">
            <v>CNY</v>
          </cell>
          <cell r="E1673">
            <v>4.9095792816651809</v>
          </cell>
          <cell r="F1673">
            <v>2.0095662999999999</v>
          </cell>
          <cell r="G1673" t="str">
            <v>CHINA</v>
          </cell>
          <cell r="H1673">
            <v>5</v>
          </cell>
        </row>
        <row r="1674">
          <cell r="B1674" t="str">
            <v>42947COP</v>
          </cell>
          <cell r="C1674" t="str">
            <v>42947COLOMBIA</v>
          </cell>
          <cell r="D1674" t="str">
            <v>COP</v>
          </cell>
          <cell r="E1674">
            <v>5.5882034990463216</v>
          </cell>
          <cell r="F1674">
            <v>3.7466396999999998</v>
          </cell>
          <cell r="G1674" t="str">
            <v>COLOMBIA</v>
          </cell>
          <cell r="H1674">
            <v>5</v>
          </cell>
        </row>
        <row r="1675">
          <cell r="B1675" t="str">
            <v>42947CZK</v>
          </cell>
          <cell r="C1675" t="str">
            <v>42947CZECH REPUBLIC</v>
          </cell>
          <cell r="D1675" t="str">
            <v>CZK</v>
          </cell>
          <cell r="E1675">
            <v>4.2698746063343043</v>
          </cell>
          <cell r="F1675">
            <v>2.1202893</v>
          </cell>
          <cell r="G1675" t="str">
            <v>CZECH REPUBLIC</v>
          </cell>
          <cell r="H1675">
            <v>5</v>
          </cell>
        </row>
        <row r="1676">
          <cell r="B1676" t="str">
            <v>42947DKK</v>
          </cell>
          <cell r="C1676" t="str">
            <v>42947DENMARK</v>
          </cell>
          <cell r="D1676" t="str">
            <v>DKK</v>
          </cell>
          <cell r="E1676">
            <v>3.7585469925133488</v>
          </cell>
          <cell r="F1676">
            <v>1.366892</v>
          </cell>
          <cell r="G1676" t="str">
            <v>DENMARK</v>
          </cell>
          <cell r="H1676">
            <v>4</v>
          </cell>
        </row>
        <row r="1677">
          <cell r="B1677" t="str">
            <v>42947EGP</v>
          </cell>
          <cell r="C1677" t="str">
            <v>42947EGYPT</v>
          </cell>
          <cell r="D1677" t="str">
            <v>EGP</v>
          </cell>
          <cell r="E1677">
            <v>15.131558979045815</v>
          </cell>
          <cell r="F1677">
            <v>19.587029000000001</v>
          </cell>
          <cell r="G1677" t="str">
            <v>EGYPT</v>
          </cell>
          <cell r="H1677">
            <v>5</v>
          </cell>
        </row>
        <row r="1678">
          <cell r="B1678" t="str">
            <v>42947EUR</v>
          </cell>
          <cell r="C1678" t="str">
            <v>42947AUSTRIA</v>
          </cell>
          <cell r="D1678" t="str">
            <v>EUR</v>
          </cell>
          <cell r="E1678">
            <v>3.9335146519612598</v>
          </cell>
          <cell r="F1678">
            <v>1.4475359416666667</v>
          </cell>
          <cell r="G1678" t="str">
            <v>AUSTRIA</v>
          </cell>
          <cell r="H1678">
            <v>4</v>
          </cell>
        </row>
        <row r="1679">
          <cell r="B1679" t="str">
            <v>42947GBP</v>
          </cell>
          <cell r="C1679" t="str">
            <v>42947UNITED KINGDOM</v>
          </cell>
          <cell r="D1679" t="str">
            <v>GBP</v>
          </cell>
          <cell r="E1679">
            <v>4.5339452983800079</v>
          </cell>
          <cell r="F1679">
            <v>2.7081056000000001</v>
          </cell>
          <cell r="G1679" t="str">
            <v>UNITED KINGDOM</v>
          </cell>
          <cell r="H1679">
            <v>4</v>
          </cell>
        </row>
        <row r="1680">
          <cell r="B1680" t="str">
            <v>42947GEL</v>
          </cell>
          <cell r="C1680" t="str">
            <v>42947GEORGIA</v>
          </cell>
          <cell r="D1680" t="str">
            <v>GEL</v>
          </cell>
          <cell r="E1680">
            <v>5.6562848237417231</v>
          </cell>
          <cell r="F1680">
            <v>3.7599166666666668</v>
          </cell>
          <cell r="G1680" t="str">
            <v>GEORGIA</v>
          </cell>
          <cell r="H1680">
            <v>6</v>
          </cell>
        </row>
        <row r="1681">
          <cell r="B1681" t="str">
            <v>42947HKD</v>
          </cell>
          <cell r="C1681" t="str">
            <v>42947HONG KONG</v>
          </cell>
          <cell r="D1681" t="str">
            <v>HKD</v>
          </cell>
          <cell r="E1681">
            <v>5.0499027236249363</v>
          </cell>
          <cell r="F1681">
            <v>2.0791870000000001</v>
          </cell>
          <cell r="G1681" t="str">
            <v>HONG KONG</v>
          </cell>
          <cell r="H1681">
            <v>4</v>
          </cell>
        </row>
        <row r="1682">
          <cell r="B1682" t="str">
            <v>42947GHS</v>
          </cell>
          <cell r="C1682" t="str">
            <v>42947GHANA</v>
          </cell>
          <cell r="D1682" t="str">
            <v>GHS</v>
          </cell>
          <cell r="E1682">
            <v>10.21886371091956</v>
          </cell>
          <cell r="F1682">
            <v>10.234166666666667</v>
          </cell>
          <cell r="G1682" t="str">
            <v>GHANA</v>
          </cell>
          <cell r="H1682">
            <v>6</v>
          </cell>
        </row>
        <row r="1683">
          <cell r="B1683" t="str">
            <v>42947HRK</v>
          </cell>
          <cell r="C1683" t="str">
            <v>42947CROATIA</v>
          </cell>
          <cell r="D1683" t="str">
            <v>HRK</v>
          </cell>
          <cell r="E1683">
            <v>3.6931413263270576</v>
          </cell>
          <cell r="F1683">
            <v>1.5404481999999999</v>
          </cell>
          <cell r="G1683" t="str">
            <v>CROATIA</v>
          </cell>
          <cell r="H1683">
            <v>6</v>
          </cell>
        </row>
        <row r="1684">
          <cell r="B1684" t="str">
            <v>42947HUF</v>
          </cell>
          <cell r="C1684" t="str">
            <v>42947HUNGARY</v>
          </cell>
          <cell r="D1684" t="str">
            <v>HUF</v>
          </cell>
          <cell r="E1684">
            <v>5.2120744952100875</v>
          </cell>
          <cell r="F1684">
            <v>2.6767979</v>
          </cell>
          <cell r="G1684" t="str">
            <v>HUNGARY</v>
          </cell>
          <cell r="H1684">
            <v>5</v>
          </cell>
        </row>
        <row r="1685">
          <cell r="B1685" t="str">
            <v>42947IDR</v>
          </cell>
          <cell r="C1685" t="str">
            <v>42947INDONESIA</v>
          </cell>
          <cell r="D1685" t="str">
            <v>IDR</v>
          </cell>
          <cell r="E1685">
            <v>6.5183465137605792</v>
          </cell>
          <cell r="F1685">
            <v>4.1799590000000002</v>
          </cell>
          <cell r="G1685" t="str">
            <v>INDONESIA</v>
          </cell>
          <cell r="H1685">
            <v>5</v>
          </cell>
        </row>
        <row r="1686">
          <cell r="B1686" t="str">
            <v>42947ILS</v>
          </cell>
          <cell r="C1686" t="str">
            <v>42947ISRAEL</v>
          </cell>
          <cell r="D1686" t="str">
            <v>ILS</v>
          </cell>
          <cell r="E1686">
            <v>3.8541916721622584</v>
          </cell>
          <cell r="F1686">
            <v>1.1464258000000001</v>
          </cell>
          <cell r="G1686" t="str">
            <v>ISRAEL</v>
          </cell>
          <cell r="H1686">
            <v>4</v>
          </cell>
        </row>
        <row r="1687">
          <cell r="B1687" t="str">
            <v>42947INR</v>
          </cell>
          <cell r="C1687" t="str">
            <v>42947INDIA</v>
          </cell>
          <cell r="D1687" t="str">
            <v>INR</v>
          </cell>
          <cell r="E1687">
            <v>7.1717516560317698</v>
          </cell>
          <cell r="F1687">
            <v>4.074427</v>
          </cell>
          <cell r="G1687" t="str">
            <v>INDIA</v>
          </cell>
          <cell r="H1687">
            <v>5</v>
          </cell>
        </row>
        <row r="1688">
          <cell r="B1688" t="str">
            <v>42947IQD</v>
          </cell>
          <cell r="C1688" t="str">
            <v>42947IRAQ</v>
          </cell>
          <cell r="D1688" t="str">
            <v>IQD</v>
          </cell>
          <cell r="E1688">
            <v>4.2500000000000018</v>
          </cell>
          <cell r="F1688">
            <v>2</v>
          </cell>
          <cell r="G1688" t="str">
            <v>IRAQ</v>
          </cell>
          <cell r="H1688">
            <v>6</v>
          </cell>
        </row>
        <row r="1689">
          <cell r="B1689" t="str">
            <v>42947JPY</v>
          </cell>
          <cell r="C1689" t="str">
            <v>42947JAPAN</v>
          </cell>
          <cell r="D1689" t="str">
            <v>JPY</v>
          </cell>
          <cell r="E1689">
            <v>3.3902732708292396</v>
          </cell>
          <cell r="F1689">
            <v>0.69343984000000003</v>
          </cell>
          <cell r="G1689" t="str">
            <v>JAPAN</v>
          </cell>
          <cell r="H1689">
            <v>4</v>
          </cell>
        </row>
        <row r="1690">
          <cell r="B1690" t="str">
            <v>42947KES</v>
          </cell>
          <cell r="C1690" t="str">
            <v>42947KENYA</v>
          </cell>
          <cell r="D1690" t="str">
            <v>KES</v>
          </cell>
          <cell r="E1690">
            <v>7.5744296183913242</v>
          </cell>
          <cell r="F1690">
            <v>5.7195833333333335</v>
          </cell>
          <cell r="G1690" t="str">
            <v>KENYA</v>
          </cell>
          <cell r="H1690">
            <v>7.5</v>
          </cell>
        </row>
        <row r="1691">
          <cell r="B1691" t="str">
            <v>42947JOD</v>
          </cell>
          <cell r="C1691" t="str">
            <v>42947JORDAN</v>
          </cell>
          <cell r="D1691" t="str">
            <v>JOD</v>
          </cell>
          <cell r="E1691">
            <v>4.7015542266550172</v>
          </cell>
          <cell r="F1691">
            <v>2.0791870000000001</v>
          </cell>
          <cell r="G1691" t="str">
            <v>JORDAN</v>
          </cell>
          <cell r="H1691">
            <v>6</v>
          </cell>
        </row>
        <row r="1692">
          <cell r="B1692" t="str">
            <v>42947KHR</v>
          </cell>
          <cell r="C1692" t="str">
            <v>42947CAMBODIA</v>
          </cell>
          <cell r="D1692" t="str">
            <v>KHR</v>
          </cell>
          <cell r="E1692">
            <v>5.3315755609037154</v>
          </cell>
          <cell r="F1692">
            <v>3.1273333333333335</v>
          </cell>
          <cell r="G1692" t="str">
            <v>CAMBODIA</v>
          </cell>
          <cell r="H1692">
            <v>6</v>
          </cell>
        </row>
        <row r="1693">
          <cell r="B1693" t="str">
            <v>42947KRW</v>
          </cell>
          <cell r="C1693" t="str">
            <v>42947KOREA SOUTH(REPUBLIC OF KOREA)</v>
          </cell>
          <cell r="D1693" t="str">
            <v>KRW</v>
          </cell>
          <cell r="E1693">
            <v>4.1553802906871864</v>
          </cell>
          <cell r="F1693">
            <v>1.8324716000000001</v>
          </cell>
          <cell r="G1693" t="str">
            <v>KOREA SOUTH(REPUBLIC OF KOREA)</v>
          </cell>
          <cell r="H1693">
            <v>5</v>
          </cell>
        </row>
        <row r="1694">
          <cell r="B1694" t="str">
            <v>42947KWD</v>
          </cell>
          <cell r="C1694" t="str">
            <v>42947KUWAIT</v>
          </cell>
          <cell r="D1694" t="str">
            <v>KWD</v>
          </cell>
          <cell r="E1694">
            <v>5.8495378671384914</v>
          </cell>
          <cell r="F1694">
            <v>3.8500000000000005</v>
          </cell>
          <cell r="G1694" t="str">
            <v>KUWAIT</v>
          </cell>
          <cell r="H1694">
            <v>6</v>
          </cell>
        </row>
        <row r="1695">
          <cell r="B1695" t="str">
            <v>42947LKR</v>
          </cell>
          <cell r="C1695" t="str">
            <v>42947SRI LANKA</v>
          </cell>
          <cell r="D1695" t="str">
            <v>LKR</v>
          </cell>
          <cell r="E1695">
            <v>7.4181043362536316</v>
          </cell>
          <cell r="F1695">
            <v>5.1679740000000001</v>
          </cell>
          <cell r="G1695" t="str">
            <v>SRI LANKA</v>
          </cell>
          <cell r="H1695">
            <v>6</v>
          </cell>
        </row>
        <row r="1696">
          <cell r="B1696" t="str">
            <v>42947KZT</v>
          </cell>
          <cell r="C1696" t="str">
            <v>42947KAZAKHSTAN</v>
          </cell>
          <cell r="D1696" t="str">
            <v>KZT</v>
          </cell>
          <cell r="E1696">
            <v>8.606392591771808</v>
          </cell>
          <cell r="F1696">
            <v>7.5510000000000002</v>
          </cell>
          <cell r="G1696" t="str">
            <v>KAZAKHSTAN</v>
          </cell>
          <cell r="H1696">
            <v>6</v>
          </cell>
        </row>
        <row r="1697">
          <cell r="B1697" t="str">
            <v>42947MAD</v>
          </cell>
          <cell r="C1697" t="str">
            <v>42947MOROCCO</v>
          </cell>
          <cell r="D1697" t="str">
            <v>MAD</v>
          </cell>
          <cell r="E1697">
            <v>3.9894566735280836</v>
          </cell>
          <cell r="F1697">
            <v>1.375</v>
          </cell>
          <cell r="G1697" t="str">
            <v>MOROCCO</v>
          </cell>
          <cell r="H1697">
            <v>6</v>
          </cell>
        </row>
        <row r="1698">
          <cell r="B1698" t="str">
            <v>42947MXN</v>
          </cell>
          <cell r="C1698" t="str">
            <v>42947MEXICO</v>
          </cell>
          <cell r="D1698" t="str">
            <v>MXN</v>
          </cell>
          <cell r="E1698">
            <v>5.6326773449980418</v>
          </cell>
          <cell r="F1698">
            <v>4.7134770000000001</v>
          </cell>
          <cell r="G1698" t="str">
            <v>MEXICO</v>
          </cell>
          <cell r="H1698">
            <v>7</v>
          </cell>
        </row>
        <row r="1699">
          <cell r="B1699" t="str">
            <v>42947MYR</v>
          </cell>
          <cell r="C1699" t="str">
            <v>42947MALAYSIA</v>
          </cell>
          <cell r="D1699" t="str">
            <v>MYR</v>
          </cell>
          <cell r="E1699">
            <v>5.1657330619459687</v>
          </cell>
          <cell r="F1699">
            <v>3.0547244999999998</v>
          </cell>
          <cell r="G1699" t="str">
            <v>MALAYSIA</v>
          </cell>
          <cell r="H1699">
            <v>5</v>
          </cell>
        </row>
        <row r="1700">
          <cell r="B1700" t="str">
            <v>42947NGN</v>
          </cell>
          <cell r="C1700" t="str">
            <v>42947NIGERIA</v>
          </cell>
          <cell r="D1700" t="str">
            <v>NGN</v>
          </cell>
          <cell r="E1700">
            <v>18.016464334463471</v>
          </cell>
          <cell r="F1700">
            <v>14.604155</v>
          </cell>
          <cell r="G1700" t="str">
            <v>NIGERIA</v>
          </cell>
          <cell r="H1700">
            <v>8</v>
          </cell>
        </row>
        <row r="1701">
          <cell r="B1701" t="str">
            <v>42947NOK</v>
          </cell>
          <cell r="C1701" t="str">
            <v>42947NORWAY</v>
          </cell>
          <cell r="D1701" t="str">
            <v>NOK</v>
          </cell>
          <cell r="E1701">
            <v>4.7699921996875485</v>
          </cell>
          <cell r="F1701">
            <v>1.8423290999999999</v>
          </cell>
          <cell r="G1701" t="str">
            <v>NORWAY</v>
          </cell>
          <cell r="H1701">
            <v>4</v>
          </cell>
        </row>
        <row r="1702">
          <cell r="B1702" t="str">
            <v>42947NZD</v>
          </cell>
          <cell r="C1702" t="str">
            <v>42947NEW ZEALAND</v>
          </cell>
          <cell r="D1702" t="str">
            <v>NZD</v>
          </cell>
          <cell r="E1702">
            <v>4.1594293184110267</v>
          </cell>
          <cell r="F1702">
            <v>1.8660146</v>
          </cell>
          <cell r="G1702" t="str">
            <v>NEW ZEALAND</v>
          </cell>
          <cell r="H1702">
            <v>4.3904734052139096</v>
          </cell>
        </row>
        <row r="1703">
          <cell r="B1703" t="str">
            <v>42947OMR</v>
          </cell>
          <cell r="C1703" t="str">
            <v>42947OMAN</v>
          </cell>
          <cell r="D1703" t="str">
            <v>OMR</v>
          </cell>
          <cell r="E1703">
            <v>5.5090338726396162</v>
          </cell>
          <cell r="F1703">
            <v>2.0791870000000001</v>
          </cell>
          <cell r="G1703" t="str">
            <v>OMAN</v>
          </cell>
          <cell r="H1703">
            <v>6</v>
          </cell>
        </row>
        <row r="1704">
          <cell r="B1704" t="str">
            <v>42947PEN</v>
          </cell>
          <cell r="C1704" t="str">
            <v>42947PERU</v>
          </cell>
          <cell r="D1704" t="str">
            <v>PEN</v>
          </cell>
          <cell r="E1704">
            <v>4.8757687810486319</v>
          </cell>
          <cell r="F1704">
            <v>2.6070937999999999</v>
          </cell>
          <cell r="G1704" t="str">
            <v>PERU</v>
          </cell>
          <cell r="H1704">
            <v>5</v>
          </cell>
        </row>
        <row r="1705">
          <cell r="B1705" t="str">
            <v>42947PHP</v>
          </cell>
          <cell r="C1705" t="str">
            <v>42947PHILIPPINES</v>
          </cell>
          <cell r="D1705" t="str">
            <v>PHP</v>
          </cell>
          <cell r="E1705">
            <v>5.4347100072790013</v>
          </cell>
          <cell r="F1705">
            <v>3.2696022999999999</v>
          </cell>
          <cell r="G1705" t="str">
            <v>PHILIPPINES</v>
          </cell>
          <cell r="H1705">
            <v>5</v>
          </cell>
        </row>
        <row r="1706">
          <cell r="B1706" t="str">
            <v>42947PKR</v>
          </cell>
          <cell r="C1706" t="str">
            <v>42947PAKISTAN</v>
          </cell>
          <cell r="D1706" t="str">
            <v>PKR</v>
          </cell>
          <cell r="E1706">
            <v>7.1088208615635509</v>
          </cell>
          <cell r="F1706">
            <v>4.9267950000000003</v>
          </cell>
          <cell r="G1706" t="str">
            <v>PAKISTAN</v>
          </cell>
          <cell r="H1706">
            <v>6</v>
          </cell>
        </row>
        <row r="1707">
          <cell r="B1707" t="str">
            <v>42947PLN</v>
          </cell>
          <cell r="C1707" t="str">
            <v>42947POLAND</v>
          </cell>
          <cell r="D1707" t="str">
            <v>PLN</v>
          </cell>
          <cell r="E1707">
            <v>4.6747716227627336</v>
          </cell>
          <cell r="F1707">
            <v>1.9714655999999999</v>
          </cell>
          <cell r="G1707" t="str">
            <v>POLAND</v>
          </cell>
          <cell r="H1707">
            <v>4.5</v>
          </cell>
        </row>
        <row r="1708">
          <cell r="B1708" t="str">
            <v>42947QAR</v>
          </cell>
          <cell r="C1708" t="str">
            <v>42947QATAR</v>
          </cell>
          <cell r="D1708" t="str">
            <v>QAR</v>
          </cell>
          <cell r="E1708">
            <v>5.366298396200845</v>
          </cell>
          <cell r="F1708">
            <v>2.0791870000000001</v>
          </cell>
          <cell r="G1708" t="str">
            <v>QATAR</v>
          </cell>
          <cell r="H1708">
            <v>6</v>
          </cell>
        </row>
        <row r="1709">
          <cell r="B1709" t="str">
            <v>42947RON</v>
          </cell>
          <cell r="C1709" t="str">
            <v>42947ROMANIA</v>
          </cell>
          <cell r="D1709" t="str">
            <v>RON</v>
          </cell>
          <cell r="E1709">
            <v>4.7219541050939986</v>
          </cell>
          <cell r="F1709">
            <v>2.2062241999999999</v>
          </cell>
          <cell r="G1709" t="str">
            <v>ROMANIA</v>
          </cell>
          <cell r="H1709">
            <v>6</v>
          </cell>
        </row>
        <row r="1710">
          <cell r="B1710" t="str">
            <v>42947RUB</v>
          </cell>
          <cell r="C1710" t="str">
            <v>42947RUSSIAN FEDERATION</v>
          </cell>
          <cell r="D1710" t="str">
            <v>RUB</v>
          </cell>
          <cell r="E1710">
            <v>6.3830399349869262</v>
          </cell>
          <cell r="F1710">
            <v>4.1331496000000003</v>
          </cell>
          <cell r="G1710" t="str">
            <v>RUSSIAN FEDERATION</v>
          </cell>
          <cell r="H1710">
            <v>6</v>
          </cell>
        </row>
        <row r="1711">
          <cell r="B1711" t="str">
            <v>42947SAR</v>
          </cell>
          <cell r="C1711" t="str">
            <v>42947SAUDI ARABIA</v>
          </cell>
          <cell r="D1711" t="str">
            <v>SAR</v>
          </cell>
          <cell r="E1711">
            <v>5.2582653898094724</v>
          </cell>
          <cell r="F1711">
            <v>2.0791870000000001</v>
          </cell>
          <cell r="G1711" t="str">
            <v>SAUDI ARABIA</v>
          </cell>
          <cell r="H1711">
            <v>5</v>
          </cell>
        </row>
        <row r="1712">
          <cell r="B1712" t="str">
            <v>42947SEK</v>
          </cell>
          <cell r="C1712" t="str">
            <v>42947SWEDEN</v>
          </cell>
          <cell r="D1712" t="str">
            <v>SEK</v>
          </cell>
          <cell r="E1712">
            <v>3.9697844507506721</v>
          </cell>
          <cell r="F1712">
            <v>1.7309859000000001</v>
          </cell>
          <cell r="G1712" t="str">
            <v>SWEDEN</v>
          </cell>
          <cell r="H1712">
            <v>4</v>
          </cell>
        </row>
        <row r="1713">
          <cell r="B1713" t="str">
            <v>42947SGD</v>
          </cell>
          <cell r="C1713" t="str">
            <v>42947SINGAPORE</v>
          </cell>
          <cell r="D1713" t="str">
            <v>SGD</v>
          </cell>
          <cell r="E1713">
            <v>3.9694572248692586</v>
          </cell>
          <cell r="F1713">
            <v>1.1483965</v>
          </cell>
          <cell r="G1713" t="str">
            <v>SINGAPORE</v>
          </cell>
          <cell r="H1713">
            <v>4</v>
          </cell>
        </row>
        <row r="1714">
          <cell r="B1714" t="str">
            <v>42947TZS</v>
          </cell>
          <cell r="C1714" t="str">
            <v>42947TANZANIA, UNITED REPUBLIC OF</v>
          </cell>
          <cell r="D1714" t="str">
            <v>TZS</v>
          </cell>
          <cell r="E1714">
            <v>7.2599980957821311</v>
          </cell>
          <cell r="F1714">
            <v>5.0208333333333339</v>
          </cell>
          <cell r="G1714" t="str">
            <v>TANZANIA, UNITED REPUBLIC OF</v>
          </cell>
          <cell r="H1714">
            <v>6</v>
          </cell>
        </row>
        <row r="1715">
          <cell r="B1715" t="str">
            <v>42947THB</v>
          </cell>
          <cell r="C1715" t="str">
            <v>42947THAILAND</v>
          </cell>
          <cell r="D1715" t="str">
            <v>THB</v>
          </cell>
          <cell r="E1715">
            <v>4.2074448455131455</v>
          </cell>
          <cell r="F1715">
            <v>1.2638161999999999</v>
          </cell>
          <cell r="G1715" t="str">
            <v>THAILAND</v>
          </cell>
          <cell r="H1715">
            <v>5</v>
          </cell>
        </row>
        <row r="1716">
          <cell r="B1716" t="str">
            <v>42947TRY</v>
          </cell>
          <cell r="C1716" t="str">
            <v>42947TURKEY</v>
          </cell>
          <cell r="D1716" t="str">
            <v>TRY</v>
          </cell>
          <cell r="E1716">
            <v>10.833899178957122</v>
          </cell>
          <cell r="F1716">
            <v>9.0650119999999994</v>
          </cell>
          <cell r="G1716" t="str">
            <v>TURKEY</v>
          </cell>
          <cell r="H1716">
            <v>5</v>
          </cell>
        </row>
        <row r="1717">
          <cell r="B1717" t="str">
            <v>42947TWD</v>
          </cell>
          <cell r="C1717" t="str">
            <v>42947TAIWAN</v>
          </cell>
          <cell r="D1717" t="str">
            <v>TWD</v>
          </cell>
          <cell r="E1717">
            <v>3.84966558562048</v>
          </cell>
          <cell r="F1717">
            <v>1.2472839</v>
          </cell>
          <cell r="G1717" t="str">
            <v>TAIWAN</v>
          </cell>
          <cell r="H1717">
            <v>5</v>
          </cell>
        </row>
        <row r="1718">
          <cell r="B1718" t="str">
            <v>42947UAH</v>
          </cell>
          <cell r="C1718" t="str">
            <v>42947UKRAINE</v>
          </cell>
          <cell r="D1718" t="str">
            <v>UAH</v>
          </cell>
          <cell r="E1718">
            <v>9.8376385112100042</v>
          </cell>
          <cell r="F1718">
            <v>9.9691829999999992</v>
          </cell>
          <cell r="G1718" t="str">
            <v>UKRAINE</v>
          </cell>
          <cell r="H1718">
            <v>6</v>
          </cell>
        </row>
        <row r="1719">
          <cell r="B1719" t="str">
            <v>42947USD</v>
          </cell>
          <cell r="C1719" t="str">
            <v>42947UNITED STATES</v>
          </cell>
          <cell r="D1719" t="str">
            <v>USD</v>
          </cell>
          <cell r="E1719">
            <v>4.6850349946495653</v>
          </cell>
          <cell r="F1719">
            <v>2.0791870000000001</v>
          </cell>
          <cell r="G1719" t="str">
            <v>UNITED STATES</v>
          </cell>
          <cell r="H1719">
            <v>4</v>
          </cell>
        </row>
        <row r="1720">
          <cell r="B1720" t="str">
            <v>42947VND</v>
          </cell>
          <cell r="C1720" t="str">
            <v>42947VIET NAM</v>
          </cell>
          <cell r="D1720" t="str">
            <v>VND</v>
          </cell>
          <cell r="E1720">
            <v>7.2237869151562197</v>
          </cell>
          <cell r="F1720">
            <v>4.2389174000000001</v>
          </cell>
          <cell r="G1720" t="str">
            <v>VIET NAM</v>
          </cell>
          <cell r="H1720">
            <v>6</v>
          </cell>
        </row>
        <row r="1721">
          <cell r="B1721" t="str">
            <v>42947XOF</v>
          </cell>
          <cell r="C1721" t="str">
            <v>42947MALI</v>
          </cell>
          <cell r="D1721" t="str">
            <v>XOF</v>
          </cell>
          <cell r="E1721">
            <v>3.6305950853775784</v>
          </cell>
          <cell r="G1721" t="str">
            <v>MALI</v>
          </cell>
          <cell r="H1721">
            <v>6</v>
          </cell>
        </row>
        <row r="1722">
          <cell r="B1722" t="str">
            <v>42947ZAR</v>
          </cell>
          <cell r="C1722" t="str">
            <v>42947SOUTH AFRICA</v>
          </cell>
          <cell r="D1722" t="str">
            <v>ZAR</v>
          </cell>
          <cell r="E1722">
            <v>7.8838598821293884</v>
          </cell>
          <cell r="F1722">
            <v>5.3341684000000003</v>
          </cell>
          <cell r="G1722" t="str">
            <v>SOUTH AFRICA</v>
          </cell>
          <cell r="H1722">
            <v>5</v>
          </cell>
        </row>
        <row r="1723">
          <cell r="B1723" t="str">
            <v>42947ZMW</v>
          </cell>
          <cell r="C1723" t="str">
            <v>42947ZAMBIA</v>
          </cell>
          <cell r="D1723" t="str">
            <v>ZMW</v>
          </cell>
          <cell r="E1723">
            <v>9.4941884234891063</v>
          </cell>
          <cell r="G1723" t="str">
            <v>ZAMBIA</v>
          </cell>
          <cell r="H1723">
            <v>6</v>
          </cell>
        </row>
        <row r="1724">
          <cell r="B1724" t="str">
            <v>42947EUR1</v>
          </cell>
          <cell r="C1724" t="str">
            <v>42947BELGIUM</v>
          </cell>
          <cell r="D1724" t="str">
            <v>EUR1</v>
          </cell>
          <cell r="E1724">
            <v>3.9335146519612598</v>
          </cell>
          <cell r="G1724" t="str">
            <v>BELGIUM</v>
          </cell>
          <cell r="H1724">
            <v>4</v>
          </cell>
        </row>
        <row r="1725">
          <cell r="B1725" t="str">
            <v>42947EUR2</v>
          </cell>
          <cell r="C1725" t="str">
            <v>42947CYPRUS</v>
          </cell>
          <cell r="D1725" t="str">
            <v>EUR2</v>
          </cell>
          <cell r="E1725">
            <v>3.9335146519612598</v>
          </cell>
          <cell r="G1725" t="str">
            <v>CYPRUS</v>
          </cell>
          <cell r="H1725">
            <v>5</v>
          </cell>
        </row>
        <row r="1726">
          <cell r="B1726" t="str">
            <v>42947EUR3</v>
          </cell>
          <cell r="C1726" t="str">
            <v>42947ESTONIA</v>
          </cell>
          <cell r="D1726" t="str">
            <v>EUR3</v>
          </cell>
          <cell r="E1726">
            <v>3.9335146519612598</v>
          </cell>
          <cell r="G1726" t="str">
            <v>ESTONIA</v>
          </cell>
          <cell r="H1726">
            <v>6</v>
          </cell>
        </row>
        <row r="1727">
          <cell r="B1727" t="str">
            <v>42947EUR4</v>
          </cell>
          <cell r="C1727" t="str">
            <v>42947FINLAND</v>
          </cell>
          <cell r="D1727" t="str">
            <v>EUR4</v>
          </cell>
          <cell r="E1727">
            <v>3.9335146519612598</v>
          </cell>
          <cell r="G1727" t="str">
            <v>FINLAND</v>
          </cell>
          <cell r="H1727">
            <v>4</v>
          </cell>
        </row>
        <row r="1728">
          <cell r="B1728" t="str">
            <v>42947EUR5</v>
          </cell>
          <cell r="C1728" t="str">
            <v>42947FRANCE</v>
          </cell>
          <cell r="D1728" t="str">
            <v>EUR5</v>
          </cell>
          <cell r="E1728">
            <v>3.9335146519612598</v>
          </cell>
          <cell r="G1728" t="str">
            <v>FRANCE</v>
          </cell>
          <cell r="H1728">
            <v>4</v>
          </cell>
        </row>
        <row r="1729">
          <cell r="B1729" t="str">
            <v>42947EUR6</v>
          </cell>
          <cell r="C1729" t="str">
            <v>42947GERMANY</v>
          </cell>
          <cell r="D1729" t="str">
            <v>EUR6</v>
          </cell>
          <cell r="E1729">
            <v>3.9335146519612598</v>
          </cell>
          <cell r="G1729" t="str">
            <v>GERMANY</v>
          </cell>
          <cell r="H1729">
            <v>4.2991145326737055</v>
          </cell>
        </row>
        <row r="1730">
          <cell r="B1730" t="str">
            <v>42947EUR7</v>
          </cell>
          <cell r="C1730" t="str">
            <v>42947GREECE</v>
          </cell>
          <cell r="D1730" t="str">
            <v>EUR7</v>
          </cell>
          <cell r="E1730">
            <v>3.9335146519612598</v>
          </cell>
          <cell r="G1730" t="str">
            <v>GREECE</v>
          </cell>
          <cell r="H1730">
            <v>7</v>
          </cell>
        </row>
        <row r="1731">
          <cell r="B1731" t="str">
            <v>42947EUR8</v>
          </cell>
          <cell r="C1731" t="str">
            <v>42947IRELAND</v>
          </cell>
          <cell r="D1731" t="str">
            <v>EUR8</v>
          </cell>
          <cell r="E1731">
            <v>3.9335146519612598</v>
          </cell>
          <cell r="G1731" t="str">
            <v>IRELAND</v>
          </cell>
          <cell r="H1731">
            <v>4</v>
          </cell>
        </row>
        <row r="1732">
          <cell r="B1732" t="str">
            <v>42947EUR9</v>
          </cell>
          <cell r="C1732" t="str">
            <v>42947ITALY</v>
          </cell>
          <cell r="D1732" t="str">
            <v>EUR9</v>
          </cell>
          <cell r="E1732">
            <v>3.9335146519612598</v>
          </cell>
          <cell r="G1732" t="str">
            <v>ITALY</v>
          </cell>
          <cell r="H1732">
            <v>4</v>
          </cell>
        </row>
        <row r="1733">
          <cell r="B1733" t="str">
            <v>42947EUR10</v>
          </cell>
          <cell r="C1733" t="str">
            <v>42947LATVIA</v>
          </cell>
          <cell r="D1733" t="str">
            <v>EUR10</v>
          </cell>
          <cell r="E1733">
            <v>3.9335146519612598</v>
          </cell>
          <cell r="G1733" t="str">
            <v>LATVIA</v>
          </cell>
          <cell r="H1733">
            <v>6</v>
          </cell>
        </row>
        <row r="1734">
          <cell r="B1734" t="str">
            <v>42947EUR11</v>
          </cell>
          <cell r="C1734" t="str">
            <v>42947LUXEMBOURG</v>
          </cell>
          <cell r="D1734" t="str">
            <v>EUR11</v>
          </cell>
          <cell r="E1734">
            <v>3.9335146519612598</v>
          </cell>
          <cell r="G1734" t="str">
            <v>LUXEMBOURG</v>
          </cell>
          <cell r="H1734">
            <v>4</v>
          </cell>
        </row>
        <row r="1735">
          <cell r="B1735" t="str">
            <v>42947EUR12</v>
          </cell>
          <cell r="C1735" t="str">
            <v>42947MALTA</v>
          </cell>
          <cell r="D1735" t="str">
            <v>EUR12</v>
          </cell>
          <cell r="E1735">
            <v>3.9335146519612598</v>
          </cell>
          <cell r="G1735" t="str">
            <v>MALTA</v>
          </cell>
          <cell r="H1735">
            <v>4</v>
          </cell>
        </row>
        <row r="1736">
          <cell r="B1736" t="str">
            <v>42947EUR13</v>
          </cell>
          <cell r="C1736" t="str">
            <v>42947MONTENEGRO</v>
          </cell>
          <cell r="D1736" t="str">
            <v>EUR13</v>
          </cell>
          <cell r="E1736">
            <v>3.9335146519612598</v>
          </cell>
          <cell r="G1736" t="str">
            <v>MONTENEGRO</v>
          </cell>
          <cell r="H1736">
            <v>6</v>
          </cell>
        </row>
        <row r="1737">
          <cell r="B1737" t="str">
            <v>42947EUR14</v>
          </cell>
          <cell r="C1737" t="str">
            <v>42947NETHERLANDS</v>
          </cell>
          <cell r="D1737" t="str">
            <v>EUR14</v>
          </cell>
          <cell r="E1737">
            <v>3.9335146519612598</v>
          </cell>
          <cell r="G1737" t="str">
            <v>NETHERLANDS</v>
          </cell>
          <cell r="H1737">
            <v>4</v>
          </cell>
        </row>
        <row r="1738">
          <cell r="B1738" t="str">
            <v>42947EUR15</v>
          </cell>
          <cell r="C1738" t="str">
            <v>42947PORTUGAL</v>
          </cell>
          <cell r="D1738" t="str">
            <v>EUR15</v>
          </cell>
          <cell r="E1738">
            <v>3.9335146519612598</v>
          </cell>
          <cell r="G1738" t="str">
            <v>PORTUGAL</v>
          </cell>
          <cell r="H1738">
            <v>4</v>
          </cell>
        </row>
        <row r="1739">
          <cell r="B1739" t="str">
            <v>42947EUR16</v>
          </cell>
          <cell r="C1739" t="str">
            <v>42947SLOVAKIA</v>
          </cell>
          <cell r="D1739" t="str">
            <v>EUR16</v>
          </cell>
          <cell r="E1739">
            <v>3.9335146519612598</v>
          </cell>
          <cell r="G1739" t="str">
            <v>SLOVAKIA</v>
          </cell>
          <cell r="H1739">
            <v>5</v>
          </cell>
        </row>
        <row r="1740">
          <cell r="B1740" t="str">
            <v>42947EUR17</v>
          </cell>
          <cell r="C1740" t="str">
            <v>42947SLOVENIA</v>
          </cell>
          <cell r="D1740" t="str">
            <v>EUR17</v>
          </cell>
          <cell r="E1740">
            <v>3.9335146519612598</v>
          </cell>
          <cell r="G1740" t="str">
            <v>SLOVENIA</v>
          </cell>
          <cell r="H1740">
            <v>6</v>
          </cell>
        </row>
        <row r="1741">
          <cell r="B1741" t="str">
            <v>42947EUR18</v>
          </cell>
          <cell r="C1741" t="str">
            <v>42947SPAIN</v>
          </cell>
          <cell r="D1741" t="str">
            <v>EUR18</v>
          </cell>
          <cell r="E1741">
            <v>3.9335146519612598</v>
          </cell>
          <cell r="G1741" t="str">
            <v>SPAIN</v>
          </cell>
          <cell r="H1741">
            <v>4</v>
          </cell>
        </row>
        <row r="1742">
          <cell r="B1742" t="str">
            <v>42947Eastern European Institutions</v>
          </cell>
          <cell r="C1742" t="str">
            <v>42947Eastern European Institutions</v>
          </cell>
          <cell r="D1742" t="str">
            <v>Eastern European Institutions</v>
          </cell>
          <cell r="E1742">
            <v>2.25</v>
          </cell>
          <cell r="G1742" t="str">
            <v>Eastern European Institutions</v>
          </cell>
          <cell r="H1742">
            <v>5</v>
          </cell>
        </row>
        <row r="1743">
          <cell r="B1743" t="str">
            <v>42978AED</v>
          </cell>
          <cell r="C1743" t="str">
            <v>42978U. A. E.</v>
          </cell>
          <cell r="D1743" t="str">
            <v>AED</v>
          </cell>
          <cell r="E1743">
            <v>5.1093809387827518</v>
          </cell>
          <cell r="F1743">
            <v>2.0143656999999999</v>
          </cell>
          <cell r="G1743" t="str">
            <v>U. A. E.</v>
          </cell>
          <cell r="H1743">
            <v>5</v>
          </cell>
        </row>
        <row r="1744">
          <cell r="B1744" t="str">
            <v>42978ARS</v>
          </cell>
          <cell r="C1744" t="str">
            <v>42978ARGENTINA</v>
          </cell>
          <cell r="D1744" t="str">
            <v>ARS</v>
          </cell>
          <cell r="E1744">
            <v>18.287264117894303</v>
          </cell>
          <cell r="F1744">
            <v>17.781694000000002</v>
          </cell>
          <cell r="G1744" t="str">
            <v>ARGENTINA</v>
          </cell>
          <cell r="H1744">
            <v>6</v>
          </cell>
        </row>
        <row r="1745">
          <cell r="B1745" t="str">
            <v>42978AUD</v>
          </cell>
          <cell r="C1745" t="str">
            <v>42978AUSTRALIA</v>
          </cell>
          <cell r="D1745" t="str">
            <v>AUD</v>
          </cell>
          <cell r="E1745">
            <v>4.6413792060740846</v>
          </cell>
          <cell r="F1745">
            <v>2.2309177</v>
          </cell>
          <cell r="G1745" t="str">
            <v>AUSTRALIA</v>
          </cell>
          <cell r="H1745">
            <v>3.9085235175508517</v>
          </cell>
        </row>
        <row r="1746">
          <cell r="B1746" t="str">
            <v>42978BDT</v>
          </cell>
          <cell r="C1746" t="str">
            <v>42978BANGLADESH</v>
          </cell>
          <cell r="D1746" t="str">
            <v>BDT</v>
          </cell>
          <cell r="E1746">
            <v>8.0367423316922952</v>
          </cell>
          <cell r="F1746">
            <v>5.8615503000000002</v>
          </cell>
          <cell r="G1746" t="str">
            <v>BANGLADESH</v>
          </cell>
          <cell r="H1746">
            <v>6</v>
          </cell>
        </row>
        <row r="1747">
          <cell r="B1747" t="str">
            <v>42978BRL</v>
          </cell>
          <cell r="C1747" t="str">
            <v>42978BRAZIL</v>
          </cell>
          <cell r="D1747" t="str">
            <v>BRL</v>
          </cell>
          <cell r="E1747">
            <v>6.6767729719631221</v>
          </cell>
          <cell r="F1747">
            <v>3.9432429999999998</v>
          </cell>
          <cell r="G1747" t="str">
            <v>BRAZIL</v>
          </cell>
          <cell r="H1747">
            <v>7</v>
          </cell>
        </row>
        <row r="1748">
          <cell r="B1748" t="str">
            <v>42978BWP</v>
          </cell>
          <cell r="C1748" t="str">
            <v>42978BOTSWANA</v>
          </cell>
          <cell r="D1748" t="str">
            <v>BWP</v>
          </cell>
          <cell r="E1748">
            <v>6.6586193958538633</v>
          </cell>
          <cell r="F1748">
            <v>3.9499999999999997</v>
          </cell>
          <cell r="G1748" t="str">
            <v>BOTSWANA</v>
          </cell>
          <cell r="H1748">
            <v>6</v>
          </cell>
        </row>
        <row r="1749">
          <cell r="B1749" t="str">
            <v>42978CAD</v>
          </cell>
          <cell r="C1749" t="str">
            <v>42978CANADA</v>
          </cell>
          <cell r="D1749" t="str">
            <v>CAD</v>
          </cell>
          <cell r="E1749">
            <v>4.2779891198976996</v>
          </cell>
          <cell r="F1749">
            <v>1.7829391000000001</v>
          </cell>
          <cell r="G1749" t="str">
            <v>CANADA</v>
          </cell>
          <cell r="H1749">
            <v>4</v>
          </cell>
        </row>
        <row r="1750">
          <cell r="B1750" t="str">
            <v>42978CHF</v>
          </cell>
          <cell r="C1750" t="str">
            <v>42978SWITZERLAND</v>
          </cell>
          <cell r="D1750" t="str">
            <v>CHF</v>
          </cell>
          <cell r="E1750">
            <v>3.0183997689212907</v>
          </cell>
          <cell r="F1750">
            <v>0.54742400000000002</v>
          </cell>
          <cell r="G1750" t="str">
            <v>SWITZERLAND</v>
          </cell>
          <cell r="H1750">
            <v>4</v>
          </cell>
        </row>
        <row r="1751">
          <cell r="B1751" t="str">
            <v>42978CLP</v>
          </cell>
          <cell r="C1751" t="str">
            <v>42978CHILE</v>
          </cell>
          <cell r="D1751" t="str">
            <v>CLP</v>
          </cell>
          <cell r="E1751">
            <v>5.2175634155198249</v>
          </cell>
          <cell r="F1751">
            <v>2.6797094000000001</v>
          </cell>
          <cell r="G1751" t="str">
            <v>CHILE</v>
          </cell>
          <cell r="H1751">
            <v>5</v>
          </cell>
        </row>
        <row r="1752">
          <cell r="B1752" t="str">
            <v>42978CNY</v>
          </cell>
          <cell r="C1752" t="str">
            <v>42978CHINA</v>
          </cell>
          <cell r="D1752" t="str">
            <v>CNY</v>
          </cell>
          <cell r="E1752">
            <v>4.9095792816651809</v>
          </cell>
          <cell r="F1752">
            <v>2.0179949000000001</v>
          </cell>
          <cell r="G1752" t="str">
            <v>CHINA</v>
          </cell>
          <cell r="H1752">
            <v>5</v>
          </cell>
        </row>
        <row r="1753">
          <cell r="B1753" t="str">
            <v>42978COP</v>
          </cell>
          <cell r="C1753" t="str">
            <v>42978COLOMBIA</v>
          </cell>
          <cell r="D1753" t="str">
            <v>COP</v>
          </cell>
          <cell r="E1753">
            <v>5.5882034990463216</v>
          </cell>
          <cell r="F1753">
            <v>3.7339272000000001</v>
          </cell>
          <cell r="G1753" t="str">
            <v>COLOMBIA</v>
          </cell>
          <cell r="H1753">
            <v>5</v>
          </cell>
        </row>
        <row r="1754">
          <cell r="B1754" t="str">
            <v>42978CZK</v>
          </cell>
          <cell r="C1754" t="str">
            <v>42978CZECH REPUBLIC</v>
          </cell>
          <cell r="D1754" t="str">
            <v>CZK</v>
          </cell>
          <cell r="E1754">
            <v>4.2698746063343043</v>
          </cell>
          <cell r="F1754">
            <v>2.1415715</v>
          </cell>
          <cell r="G1754" t="str">
            <v>CZECH REPUBLIC</v>
          </cell>
          <cell r="H1754">
            <v>5</v>
          </cell>
        </row>
        <row r="1755">
          <cell r="B1755" t="str">
            <v>42978DKK</v>
          </cell>
          <cell r="C1755" t="str">
            <v>42978DENMARK</v>
          </cell>
          <cell r="D1755" t="str">
            <v>DKK</v>
          </cell>
          <cell r="E1755">
            <v>3.7585469925133488</v>
          </cell>
          <cell r="F1755">
            <v>1.330573</v>
          </cell>
          <cell r="G1755" t="str">
            <v>DENMARK</v>
          </cell>
          <cell r="H1755">
            <v>4</v>
          </cell>
        </row>
        <row r="1756">
          <cell r="B1756" t="str">
            <v>42978EGP</v>
          </cell>
          <cell r="C1756" t="str">
            <v>42978EGYPT</v>
          </cell>
          <cell r="D1756" t="str">
            <v>EGP</v>
          </cell>
          <cell r="E1756">
            <v>15.131558979045815</v>
          </cell>
          <cell r="F1756">
            <v>18.99119</v>
          </cell>
          <cell r="G1756" t="str">
            <v>EGYPT</v>
          </cell>
          <cell r="H1756">
            <v>5</v>
          </cell>
        </row>
        <row r="1757">
          <cell r="B1757" t="str">
            <v>42978EUR</v>
          </cell>
          <cell r="C1757" t="str">
            <v>42978AUSTRIA</v>
          </cell>
          <cell r="D1757" t="str">
            <v>EUR</v>
          </cell>
          <cell r="E1757">
            <v>3.9335146519612598</v>
          </cell>
          <cell r="F1757">
            <v>1.3992198</v>
          </cell>
          <cell r="G1757" t="str">
            <v>AUSTRIA</v>
          </cell>
          <cell r="H1757">
            <v>4</v>
          </cell>
        </row>
        <row r="1758">
          <cell r="B1758" t="str">
            <v>42978GBP</v>
          </cell>
          <cell r="C1758" t="str">
            <v>42978UNITED KINGDOM</v>
          </cell>
          <cell r="D1758" t="str">
            <v>GBP</v>
          </cell>
          <cell r="E1758">
            <v>4.5339452983800079</v>
          </cell>
          <cell r="F1758">
            <v>2.6269347999999999</v>
          </cell>
          <cell r="G1758" t="str">
            <v>UNITED KINGDOM</v>
          </cell>
          <cell r="H1758">
            <v>4</v>
          </cell>
        </row>
        <row r="1759">
          <cell r="B1759" t="str">
            <v>42978GEL</v>
          </cell>
          <cell r="C1759" t="str">
            <v>42978GEORGIA</v>
          </cell>
          <cell r="D1759" t="str">
            <v>GEL</v>
          </cell>
          <cell r="E1759">
            <v>5.6562848237417231</v>
          </cell>
          <cell r="F1759">
            <v>3.4833333333333329</v>
          </cell>
          <cell r="G1759" t="str">
            <v>GEORGIA</v>
          </cell>
          <cell r="H1759">
            <v>6</v>
          </cell>
        </row>
        <row r="1760">
          <cell r="B1760" t="str">
            <v>42978HKD</v>
          </cell>
          <cell r="C1760" t="str">
            <v>42978HONG KONG</v>
          </cell>
          <cell r="D1760" t="str">
            <v>HKD</v>
          </cell>
          <cell r="E1760">
            <v>5.0499027236249363</v>
          </cell>
          <cell r="F1760">
            <v>2.0143656999999999</v>
          </cell>
          <cell r="G1760" t="str">
            <v>HONG KONG</v>
          </cell>
          <cell r="H1760">
            <v>4</v>
          </cell>
        </row>
        <row r="1761">
          <cell r="B1761" t="str">
            <v>42978GHS</v>
          </cell>
          <cell r="C1761" t="str">
            <v>42978GHANA</v>
          </cell>
          <cell r="D1761" t="str">
            <v>GHS</v>
          </cell>
          <cell r="E1761">
            <v>10.21886371091956</v>
          </cell>
          <cell r="F1761">
            <v>9.9873333333333321</v>
          </cell>
          <cell r="G1761" t="str">
            <v>GHANA</v>
          </cell>
          <cell r="H1761">
            <v>6</v>
          </cell>
        </row>
        <row r="1762">
          <cell r="B1762" t="str">
            <v>42978HRK</v>
          </cell>
          <cell r="C1762" t="str">
            <v>42978CROATIA</v>
          </cell>
          <cell r="D1762" t="str">
            <v>HRK</v>
          </cell>
          <cell r="E1762">
            <v>3.6931413263270576</v>
          </cell>
          <cell r="F1762">
            <v>1.5199336999999999</v>
          </cell>
          <cell r="G1762" t="str">
            <v>CROATIA</v>
          </cell>
          <cell r="H1762">
            <v>6</v>
          </cell>
        </row>
        <row r="1763">
          <cell r="B1763" t="str">
            <v>42978HUF</v>
          </cell>
          <cell r="C1763" t="str">
            <v>42978HUNGARY</v>
          </cell>
          <cell r="D1763" t="str">
            <v>HUF</v>
          </cell>
          <cell r="E1763">
            <v>5.2120744952100875</v>
          </cell>
          <cell r="F1763">
            <v>2.7126025999999999</v>
          </cell>
          <cell r="G1763" t="str">
            <v>HUNGARY</v>
          </cell>
          <cell r="H1763">
            <v>5</v>
          </cell>
        </row>
        <row r="1764">
          <cell r="B1764" t="str">
            <v>42978IDR</v>
          </cell>
          <cell r="C1764" t="str">
            <v>42978INDONESIA</v>
          </cell>
          <cell r="D1764" t="str">
            <v>IDR</v>
          </cell>
          <cell r="E1764">
            <v>6.5183465137605792</v>
          </cell>
          <cell r="F1764">
            <v>4.1374396999999998</v>
          </cell>
          <cell r="G1764" t="str">
            <v>INDONESIA</v>
          </cell>
          <cell r="H1764">
            <v>5</v>
          </cell>
        </row>
        <row r="1765">
          <cell r="B1765" t="str">
            <v>42978ILS</v>
          </cell>
          <cell r="C1765" t="str">
            <v>42978ISRAEL</v>
          </cell>
          <cell r="D1765" t="str">
            <v>ILS</v>
          </cell>
          <cell r="E1765">
            <v>3.8541916721622584</v>
          </cell>
          <cell r="F1765">
            <v>0.99180067000000005</v>
          </cell>
          <cell r="G1765" t="str">
            <v>ISRAEL</v>
          </cell>
          <cell r="H1765">
            <v>4</v>
          </cell>
        </row>
        <row r="1766">
          <cell r="B1766" t="str">
            <v>42978INR</v>
          </cell>
          <cell r="C1766" t="str">
            <v>42978INDIA</v>
          </cell>
          <cell r="D1766" t="str">
            <v>INR</v>
          </cell>
          <cell r="E1766">
            <v>7.1717516560317698</v>
          </cell>
          <cell r="F1766">
            <v>4.0084257000000001</v>
          </cell>
          <cell r="G1766" t="str">
            <v>INDIA</v>
          </cell>
          <cell r="H1766">
            <v>5</v>
          </cell>
        </row>
        <row r="1767">
          <cell r="B1767" t="str">
            <v>42978IQD</v>
          </cell>
          <cell r="C1767" t="str">
            <v>42978IRAQ</v>
          </cell>
          <cell r="D1767" t="str">
            <v>IQD</v>
          </cell>
          <cell r="E1767">
            <v>4.2500000000000018</v>
          </cell>
          <cell r="F1767">
            <v>2</v>
          </cell>
          <cell r="G1767" t="str">
            <v>IRAQ</v>
          </cell>
          <cell r="H1767">
            <v>6</v>
          </cell>
        </row>
        <row r="1768">
          <cell r="B1768" t="str">
            <v>42978JPY</v>
          </cell>
          <cell r="C1768" t="str">
            <v>42978JAPAN</v>
          </cell>
          <cell r="D1768" t="str">
            <v>JPY</v>
          </cell>
          <cell r="E1768">
            <v>3.3902732708292396</v>
          </cell>
          <cell r="F1768">
            <v>0.69818270000000004</v>
          </cell>
          <cell r="G1768" t="str">
            <v>JAPAN</v>
          </cell>
          <cell r="H1768">
            <v>4</v>
          </cell>
        </row>
        <row r="1769">
          <cell r="B1769" t="str">
            <v>42978KES</v>
          </cell>
          <cell r="C1769" t="str">
            <v>42978KENYA</v>
          </cell>
          <cell r="D1769" t="str">
            <v>KES</v>
          </cell>
          <cell r="E1769">
            <v>7.5744296183913242</v>
          </cell>
          <cell r="F1769">
            <v>5.6126666666666658</v>
          </cell>
          <cell r="G1769" t="str">
            <v>KENYA</v>
          </cell>
          <cell r="H1769">
            <v>7.5</v>
          </cell>
        </row>
        <row r="1770">
          <cell r="B1770" t="str">
            <v>42978JOD</v>
          </cell>
          <cell r="C1770" t="str">
            <v>42978JORDAN</v>
          </cell>
          <cell r="D1770" t="str">
            <v>JOD</v>
          </cell>
          <cell r="E1770">
            <v>4.7015542266550172</v>
          </cell>
          <cell r="F1770">
            <v>2.0143656999999999</v>
          </cell>
          <cell r="G1770" t="str">
            <v>JORDAN</v>
          </cell>
          <cell r="H1770">
            <v>6</v>
          </cell>
        </row>
        <row r="1771">
          <cell r="B1771" t="str">
            <v>42978KHR</v>
          </cell>
          <cell r="C1771" t="str">
            <v>42978CAMBODIA</v>
          </cell>
          <cell r="D1771" t="str">
            <v>KHR</v>
          </cell>
          <cell r="E1771">
            <v>5.3315755609037154</v>
          </cell>
          <cell r="F1771">
            <v>3.1136666666666666</v>
          </cell>
          <cell r="G1771" t="str">
            <v>CAMBODIA</v>
          </cell>
          <cell r="H1771">
            <v>6</v>
          </cell>
        </row>
        <row r="1772">
          <cell r="B1772" t="str">
            <v>42978KRW</v>
          </cell>
          <cell r="C1772" t="str">
            <v>42978KOREA SOUTH(REPUBLIC OF KOREA)</v>
          </cell>
          <cell r="D1772" t="str">
            <v>KRW</v>
          </cell>
          <cell r="E1772">
            <v>4.1553802906871864</v>
          </cell>
          <cell r="F1772">
            <v>1.8390479</v>
          </cell>
          <cell r="G1772" t="str">
            <v>KOREA SOUTH(REPUBLIC OF KOREA)</v>
          </cell>
          <cell r="H1772">
            <v>5</v>
          </cell>
        </row>
        <row r="1773">
          <cell r="B1773" t="str">
            <v>42978KWD</v>
          </cell>
          <cell r="C1773" t="str">
            <v>42978KUWAIT</v>
          </cell>
          <cell r="D1773" t="str">
            <v>KWD</v>
          </cell>
          <cell r="E1773">
            <v>5.8495378671384914</v>
          </cell>
          <cell r="F1773">
            <v>3.8</v>
          </cell>
          <cell r="G1773" t="str">
            <v>KUWAIT</v>
          </cell>
          <cell r="H1773">
            <v>6</v>
          </cell>
        </row>
        <row r="1774">
          <cell r="B1774" t="str">
            <v>42978LKR</v>
          </cell>
          <cell r="C1774" t="str">
            <v>42978SRI LANKA</v>
          </cell>
          <cell r="D1774" t="str">
            <v>LKR</v>
          </cell>
          <cell r="E1774">
            <v>7.4181043362536316</v>
          </cell>
          <cell r="F1774">
            <v>5.2736606999999998</v>
          </cell>
          <cell r="G1774" t="str">
            <v>SRI LANKA</v>
          </cell>
          <cell r="H1774">
            <v>6</v>
          </cell>
        </row>
        <row r="1775">
          <cell r="B1775" t="str">
            <v>42978KZT</v>
          </cell>
          <cell r="C1775" t="str">
            <v>42978KAZAKHSTAN</v>
          </cell>
          <cell r="D1775" t="str">
            <v>KZT</v>
          </cell>
          <cell r="E1775">
            <v>8.606392591771808</v>
          </cell>
          <cell r="F1775">
            <v>7.4809999999999999</v>
          </cell>
          <cell r="G1775" t="str">
            <v>KAZAKHSTAN</v>
          </cell>
          <cell r="H1775">
            <v>6</v>
          </cell>
        </row>
        <row r="1776">
          <cell r="B1776" t="str">
            <v>42978MAD</v>
          </cell>
          <cell r="C1776" t="str">
            <v>42978MOROCCO</v>
          </cell>
          <cell r="D1776" t="str">
            <v>MAD</v>
          </cell>
          <cell r="E1776">
            <v>3.9894566735280836</v>
          </cell>
          <cell r="F1776">
            <v>1.4</v>
          </cell>
          <cell r="G1776" t="str">
            <v>MOROCCO</v>
          </cell>
          <cell r="H1776">
            <v>6</v>
          </cell>
        </row>
        <row r="1777">
          <cell r="B1777" t="str">
            <v>42978MXN</v>
          </cell>
          <cell r="C1777" t="str">
            <v>42978MEXICO</v>
          </cell>
          <cell r="D1777" t="str">
            <v>MXN</v>
          </cell>
          <cell r="E1777">
            <v>5.6326773449980418</v>
          </cell>
          <cell r="F1777">
            <v>4.6115545999999998</v>
          </cell>
          <cell r="G1777" t="str">
            <v>MEXICO</v>
          </cell>
          <cell r="H1777">
            <v>7</v>
          </cell>
        </row>
        <row r="1778">
          <cell r="B1778" t="str">
            <v>42978MYR</v>
          </cell>
          <cell r="C1778" t="str">
            <v>42978MALAYSIA</v>
          </cell>
          <cell r="D1778" t="str">
            <v>MYR</v>
          </cell>
          <cell r="E1778">
            <v>5.1657330619459687</v>
          </cell>
          <cell r="F1778">
            <v>2.9094500000000001</v>
          </cell>
          <cell r="G1778" t="str">
            <v>MALAYSIA</v>
          </cell>
          <cell r="H1778">
            <v>5</v>
          </cell>
        </row>
        <row r="1779">
          <cell r="B1779" t="str">
            <v>42978NGN</v>
          </cell>
          <cell r="C1779" t="str">
            <v>42978NIGERIA</v>
          </cell>
          <cell r="D1779" t="str">
            <v>NGN</v>
          </cell>
          <cell r="E1779">
            <v>18.016464334463471</v>
          </cell>
          <cell r="F1779">
            <v>14.423902500000001</v>
          </cell>
          <cell r="G1779" t="str">
            <v>NIGERIA</v>
          </cell>
          <cell r="H1779">
            <v>8</v>
          </cell>
        </row>
        <row r="1780">
          <cell r="B1780" t="str">
            <v>42978NOK</v>
          </cell>
          <cell r="C1780" t="str">
            <v>42978NORWAY</v>
          </cell>
          <cell r="D1780" t="str">
            <v>NOK</v>
          </cell>
          <cell r="E1780">
            <v>4.7699921996875485</v>
          </cell>
          <cell r="F1780">
            <v>1.8356604999999999</v>
          </cell>
          <cell r="G1780" t="str">
            <v>NORWAY</v>
          </cell>
          <cell r="H1780">
            <v>4</v>
          </cell>
        </row>
        <row r="1781">
          <cell r="B1781" t="str">
            <v>42978NZD</v>
          </cell>
          <cell r="C1781" t="str">
            <v>42978NEW ZEALAND</v>
          </cell>
          <cell r="D1781" t="str">
            <v>NZD</v>
          </cell>
          <cell r="E1781">
            <v>4.1594293184110267</v>
          </cell>
          <cell r="F1781">
            <v>1.8257349</v>
          </cell>
          <cell r="G1781" t="str">
            <v>NEW ZEALAND</v>
          </cell>
          <cell r="H1781">
            <v>4.3904734052139096</v>
          </cell>
        </row>
        <row r="1782">
          <cell r="B1782" t="str">
            <v>42978OMR</v>
          </cell>
          <cell r="C1782" t="str">
            <v>42978OMAN</v>
          </cell>
          <cell r="D1782" t="str">
            <v>OMR</v>
          </cell>
          <cell r="E1782">
            <v>5.5090338726396162</v>
          </cell>
          <cell r="F1782">
            <v>2.0143656999999999</v>
          </cell>
          <cell r="G1782" t="str">
            <v>OMAN</v>
          </cell>
          <cell r="H1782">
            <v>6</v>
          </cell>
        </row>
        <row r="1783">
          <cell r="B1783" t="str">
            <v>42978PEN</v>
          </cell>
          <cell r="C1783" t="str">
            <v>42978PERU</v>
          </cell>
          <cell r="D1783" t="str">
            <v>PEN</v>
          </cell>
          <cell r="E1783">
            <v>4.8757687810486319</v>
          </cell>
          <cell r="F1783">
            <v>2.6661994</v>
          </cell>
          <cell r="G1783" t="str">
            <v>PERU</v>
          </cell>
          <cell r="H1783">
            <v>5</v>
          </cell>
        </row>
        <row r="1784">
          <cell r="B1784" t="str">
            <v>42978PHP</v>
          </cell>
          <cell r="C1784" t="str">
            <v>42978PHILIPPINES</v>
          </cell>
          <cell r="D1784" t="str">
            <v>PHP</v>
          </cell>
          <cell r="E1784">
            <v>5.4347100072790013</v>
          </cell>
          <cell r="F1784">
            <v>3.3143425</v>
          </cell>
          <cell r="G1784" t="str">
            <v>PHILIPPINES</v>
          </cell>
          <cell r="H1784">
            <v>5</v>
          </cell>
        </row>
        <row r="1785">
          <cell r="B1785" t="str">
            <v>42978PKR</v>
          </cell>
          <cell r="C1785" t="str">
            <v>42978PAKISTAN</v>
          </cell>
          <cell r="D1785" t="str">
            <v>PKR</v>
          </cell>
          <cell r="E1785">
            <v>7.1088208615635509</v>
          </cell>
          <cell r="F1785">
            <v>4.7644434000000002</v>
          </cell>
          <cell r="G1785" t="str">
            <v>PAKISTAN</v>
          </cell>
          <cell r="H1785">
            <v>6</v>
          </cell>
        </row>
        <row r="1786">
          <cell r="B1786" t="str">
            <v>42978PLN</v>
          </cell>
          <cell r="C1786" t="str">
            <v>42978POLAND</v>
          </cell>
          <cell r="D1786" t="str">
            <v>PLN</v>
          </cell>
          <cell r="E1786">
            <v>4.6747716227627336</v>
          </cell>
          <cell r="F1786">
            <v>1.9874262</v>
          </cell>
          <cell r="G1786" t="str">
            <v>POLAND</v>
          </cell>
          <cell r="H1786">
            <v>4.5</v>
          </cell>
        </row>
        <row r="1787">
          <cell r="B1787" t="str">
            <v>42978QAR</v>
          </cell>
          <cell r="C1787" t="str">
            <v>42978QATAR</v>
          </cell>
          <cell r="D1787" t="str">
            <v>QAR</v>
          </cell>
          <cell r="E1787">
            <v>5.366298396200845</v>
          </cell>
          <cell r="F1787">
            <v>2.0143656999999999</v>
          </cell>
          <cell r="G1787" t="str">
            <v>QATAR</v>
          </cell>
          <cell r="H1787">
            <v>6</v>
          </cell>
        </row>
        <row r="1788">
          <cell r="B1788" t="str">
            <v>42978RON</v>
          </cell>
          <cell r="C1788" t="str">
            <v>42978ROMANIA</v>
          </cell>
          <cell r="D1788" t="str">
            <v>RON</v>
          </cell>
          <cell r="E1788">
            <v>4.7219541050939986</v>
          </cell>
          <cell r="F1788">
            <v>2.3734624000000002</v>
          </cell>
          <cell r="G1788" t="str">
            <v>ROMANIA</v>
          </cell>
          <cell r="H1788">
            <v>6</v>
          </cell>
        </row>
        <row r="1789">
          <cell r="B1789" t="str">
            <v>42978RUB</v>
          </cell>
          <cell r="C1789" t="str">
            <v>42978RUSSIAN FEDERATION</v>
          </cell>
          <cell r="D1789" t="str">
            <v>RUB</v>
          </cell>
          <cell r="E1789">
            <v>6.3830399349869262</v>
          </cell>
          <cell r="F1789">
            <v>4.1332684000000004</v>
          </cell>
          <cell r="G1789" t="str">
            <v>RUSSIAN FEDERATION</v>
          </cell>
          <cell r="H1789">
            <v>6</v>
          </cell>
        </row>
        <row r="1790">
          <cell r="B1790" t="str">
            <v>42978SAR</v>
          </cell>
          <cell r="C1790" t="str">
            <v>42978SAUDI ARABIA</v>
          </cell>
          <cell r="D1790" t="str">
            <v>SAR</v>
          </cell>
          <cell r="E1790">
            <v>5.2582653898094724</v>
          </cell>
          <cell r="F1790">
            <v>2.0143656999999999</v>
          </cell>
          <cell r="G1790" t="str">
            <v>SAUDI ARABIA</v>
          </cell>
          <cell r="H1790">
            <v>5</v>
          </cell>
        </row>
        <row r="1791">
          <cell r="B1791" t="str">
            <v>42978SEK</v>
          </cell>
          <cell r="C1791" t="str">
            <v>42978SWEDEN</v>
          </cell>
          <cell r="D1791" t="str">
            <v>SEK</v>
          </cell>
          <cell r="E1791">
            <v>3.9697844507506721</v>
          </cell>
          <cell r="F1791">
            <v>1.8125623</v>
          </cell>
          <cell r="G1791" t="str">
            <v>SWEDEN</v>
          </cell>
          <cell r="H1791">
            <v>4</v>
          </cell>
        </row>
        <row r="1792">
          <cell r="B1792" t="str">
            <v>42978SGD</v>
          </cell>
          <cell r="C1792" t="str">
            <v>42978SINGAPORE</v>
          </cell>
          <cell r="D1792" t="str">
            <v>SGD</v>
          </cell>
          <cell r="E1792">
            <v>3.9694572248692586</v>
          </cell>
          <cell r="F1792">
            <v>1.1958473999999999</v>
          </cell>
          <cell r="G1792" t="str">
            <v>SINGAPORE</v>
          </cell>
          <cell r="H1792">
            <v>4</v>
          </cell>
        </row>
        <row r="1793">
          <cell r="B1793" t="str">
            <v>42978TZS</v>
          </cell>
          <cell r="C1793" t="str">
            <v>42978TANZANIA, UNITED REPUBLIC OF</v>
          </cell>
          <cell r="D1793" t="str">
            <v>TZS</v>
          </cell>
          <cell r="E1793">
            <v>7.2599980957821311</v>
          </cell>
          <cell r="F1793">
            <v>5.0166666666666657</v>
          </cell>
          <cell r="G1793" t="str">
            <v>TANZANIA, UNITED REPUBLIC OF</v>
          </cell>
          <cell r="H1793">
            <v>6</v>
          </cell>
        </row>
        <row r="1794">
          <cell r="B1794" t="str">
            <v>42978THB</v>
          </cell>
          <cell r="C1794" t="str">
            <v>42978THAILAND</v>
          </cell>
          <cell r="D1794" t="str">
            <v>THB</v>
          </cell>
          <cell r="E1794">
            <v>4.2074448455131455</v>
          </cell>
          <cell r="F1794">
            <v>1.1629596</v>
          </cell>
          <cell r="G1794" t="str">
            <v>THAILAND</v>
          </cell>
          <cell r="H1794">
            <v>5</v>
          </cell>
        </row>
        <row r="1795">
          <cell r="B1795" t="str">
            <v>42978TRY</v>
          </cell>
          <cell r="C1795" t="str">
            <v>42978TURKEY</v>
          </cell>
          <cell r="D1795" t="str">
            <v>TRY</v>
          </cell>
          <cell r="E1795">
            <v>10.833899178957122</v>
          </cell>
          <cell r="F1795">
            <v>8.8457249999999998</v>
          </cell>
          <cell r="G1795" t="str">
            <v>TURKEY</v>
          </cell>
          <cell r="H1795">
            <v>5</v>
          </cell>
        </row>
        <row r="1796">
          <cell r="B1796" t="str">
            <v>42978TWD</v>
          </cell>
          <cell r="C1796" t="str">
            <v>42978TAIWAN</v>
          </cell>
          <cell r="D1796" t="str">
            <v>TWD</v>
          </cell>
          <cell r="E1796">
            <v>3.84966558562048</v>
          </cell>
          <cell r="F1796">
            <v>1.2324360000000001</v>
          </cell>
          <cell r="G1796" t="str">
            <v>TAIWAN</v>
          </cell>
          <cell r="H1796">
            <v>5</v>
          </cell>
        </row>
        <row r="1797">
          <cell r="B1797" t="str">
            <v>42978UAH</v>
          </cell>
          <cell r="C1797" t="str">
            <v>42978UKRAINE</v>
          </cell>
          <cell r="D1797" t="str">
            <v>UAH</v>
          </cell>
          <cell r="E1797">
            <v>9.8376385112100042</v>
          </cell>
          <cell r="F1797">
            <v>9.7169570000000007</v>
          </cell>
          <cell r="G1797" t="str">
            <v>UKRAINE</v>
          </cell>
          <cell r="H1797">
            <v>6</v>
          </cell>
        </row>
        <row r="1798">
          <cell r="B1798" t="str">
            <v>42978USD</v>
          </cell>
          <cell r="C1798" t="str">
            <v>42978UNITED STATES</v>
          </cell>
          <cell r="D1798" t="str">
            <v>USD</v>
          </cell>
          <cell r="E1798">
            <v>4.6850349946495653</v>
          </cell>
          <cell r="F1798">
            <v>2.0143656999999999</v>
          </cell>
          <cell r="G1798" t="str">
            <v>UNITED STATES</v>
          </cell>
          <cell r="H1798">
            <v>4</v>
          </cell>
        </row>
        <row r="1799">
          <cell r="B1799" t="str">
            <v>42978VND</v>
          </cell>
          <cell r="C1799" t="str">
            <v>42978VIET NAM</v>
          </cell>
          <cell r="D1799" t="str">
            <v>VND</v>
          </cell>
          <cell r="E1799">
            <v>7.2237869151562197</v>
          </cell>
          <cell r="F1799">
            <v>4.1505494000000001</v>
          </cell>
          <cell r="G1799" t="str">
            <v>VIET NAM</v>
          </cell>
          <cell r="H1799">
            <v>6</v>
          </cell>
        </row>
        <row r="1800">
          <cell r="B1800" t="str">
            <v>42978XOF</v>
          </cell>
          <cell r="C1800" t="str">
            <v>42978MALI</v>
          </cell>
          <cell r="D1800" t="str">
            <v>XOF</v>
          </cell>
          <cell r="E1800">
            <v>3.6305950853775784</v>
          </cell>
          <cell r="G1800" t="str">
            <v>MALI</v>
          </cell>
          <cell r="H1800">
            <v>6</v>
          </cell>
        </row>
        <row r="1801">
          <cell r="B1801" t="str">
            <v>42978ZAR</v>
          </cell>
          <cell r="C1801" t="str">
            <v>42978SOUTH AFRICA</v>
          </cell>
          <cell r="D1801" t="str">
            <v>ZAR</v>
          </cell>
          <cell r="E1801">
            <v>7.8838598821293884</v>
          </cell>
          <cell r="F1801">
            <v>5.2545840000000004</v>
          </cell>
          <cell r="G1801" t="str">
            <v>SOUTH AFRICA</v>
          </cell>
          <cell r="H1801">
            <v>5</v>
          </cell>
        </row>
        <row r="1802">
          <cell r="B1802" t="str">
            <v>42978ZMW</v>
          </cell>
          <cell r="C1802" t="str">
            <v>42978ZAMBIA</v>
          </cell>
          <cell r="D1802" t="str">
            <v>ZMW</v>
          </cell>
          <cell r="E1802">
            <v>9.4941884234891063</v>
          </cell>
          <cell r="G1802" t="str">
            <v>ZAMBIA</v>
          </cell>
          <cell r="H1802">
            <v>6</v>
          </cell>
        </row>
        <row r="1803">
          <cell r="B1803" t="str">
            <v>42978EUR1</v>
          </cell>
          <cell r="C1803" t="str">
            <v>42978BELGIUM</v>
          </cell>
          <cell r="D1803" t="str">
            <v>EUR1</v>
          </cell>
          <cell r="E1803">
            <v>3.9335146519612598</v>
          </cell>
          <cell r="G1803" t="str">
            <v>BELGIUM</v>
          </cell>
          <cell r="H1803">
            <v>4</v>
          </cell>
        </row>
        <row r="1804">
          <cell r="B1804" t="str">
            <v>42978EUR2</v>
          </cell>
          <cell r="C1804" t="str">
            <v>42978CYPRUS</v>
          </cell>
          <cell r="D1804" t="str">
            <v>EUR2</v>
          </cell>
          <cell r="E1804">
            <v>3.9335146519612598</v>
          </cell>
          <cell r="G1804" t="str">
            <v>CYPRUS</v>
          </cell>
          <cell r="H1804">
            <v>5</v>
          </cell>
        </row>
        <row r="1805">
          <cell r="B1805" t="str">
            <v>42978EUR3</v>
          </cell>
          <cell r="C1805" t="str">
            <v>42978ESTONIA</v>
          </cell>
          <cell r="D1805" t="str">
            <v>EUR3</v>
          </cell>
          <cell r="E1805">
            <v>3.9335146519612598</v>
          </cell>
          <cell r="G1805" t="str">
            <v>ESTONIA</v>
          </cell>
          <cell r="H1805">
            <v>6</v>
          </cell>
        </row>
        <row r="1806">
          <cell r="B1806" t="str">
            <v>42978EUR4</v>
          </cell>
          <cell r="C1806" t="str">
            <v>42978FINLAND</v>
          </cell>
          <cell r="D1806" t="str">
            <v>EUR4</v>
          </cell>
          <cell r="E1806">
            <v>3.9335146519612598</v>
          </cell>
          <cell r="G1806" t="str">
            <v>FINLAND</v>
          </cell>
          <cell r="H1806">
            <v>4</v>
          </cell>
        </row>
        <row r="1807">
          <cell r="B1807" t="str">
            <v>42978EUR5</v>
          </cell>
          <cell r="C1807" t="str">
            <v>42978FRANCE</v>
          </cell>
          <cell r="D1807" t="str">
            <v>EUR5</v>
          </cell>
          <cell r="E1807">
            <v>3.9335146519612598</v>
          </cell>
          <cell r="G1807" t="str">
            <v>FRANCE</v>
          </cell>
          <cell r="H1807">
            <v>4</v>
          </cell>
        </row>
        <row r="1808">
          <cell r="B1808" t="str">
            <v>42978EUR6</v>
          </cell>
          <cell r="C1808" t="str">
            <v>42978GERMANY</v>
          </cell>
          <cell r="D1808" t="str">
            <v>EUR6</v>
          </cell>
          <cell r="E1808">
            <v>3.9335146519612598</v>
          </cell>
          <cell r="G1808" t="str">
            <v>GERMANY</v>
          </cell>
          <cell r="H1808">
            <v>4.2991145326737055</v>
          </cell>
        </row>
        <row r="1809">
          <cell r="B1809" t="str">
            <v>42978EUR7</v>
          </cell>
          <cell r="C1809" t="str">
            <v>42978GREECE</v>
          </cell>
          <cell r="D1809" t="str">
            <v>EUR7</v>
          </cell>
          <cell r="E1809">
            <v>3.9335146519612598</v>
          </cell>
          <cell r="G1809" t="str">
            <v>GREECE</v>
          </cell>
          <cell r="H1809">
            <v>7</v>
          </cell>
        </row>
        <row r="1810">
          <cell r="B1810" t="str">
            <v>42978EUR8</v>
          </cell>
          <cell r="C1810" t="str">
            <v>42978IRELAND</v>
          </cell>
          <cell r="D1810" t="str">
            <v>EUR8</v>
          </cell>
          <cell r="E1810">
            <v>3.9335146519612598</v>
          </cell>
          <cell r="G1810" t="str">
            <v>IRELAND</v>
          </cell>
          <cell r="H1810">
            <v>4</v>
          </cell>
        </row>
        <row r="1811">
          <cell r="B1811" t="str">
            <v>42978EUR9</v>
          </cell>
          <cell r="C1811" t="str">
            <v>42978ITALY</v>
          </cell>
          <cell r="D1811" t="str">
            <v>EUR9</v>
          </cell>
          <cell r="E1811">
            <v>3.9335146519612598</v>
          </cell>
          <cell r="G1811" t="str">
            <v>ITALY</v>
          </cell>
          <cell r="H1811">
            <v>4</v>
          </cell>
        </row>
        <row r="1812">
          <cell r="B1812" t="str">
            <v>42978EUR10</v>
          </cell>
          <cell r="C1812" t="str">
            <v>42978LATVIA</v>
          </cell>
          <cell r="D1812" t="str">
            <v>EUR10</v>
          </cell>
          <cell r="E1812">
            <v>3.9335146519612598</v>
          </cell>
          <cell r="G1812" t="str">
            <v>LATVIA</v>
          </cell>
          <cell r="H1812">
            <v>6</v>
          </cell>
        </row>
        <row r="1813">
          <cell r="B1813" t="str">
            <v>42978EUR11</v>
          </cell>
          <cell r="C1813" t="str">
            <v>42978LUXEMBOURG</v>
          </cell>
          <cell r="D1813" t="str">
            <v>EUR11</v>
          </cell>
          <cell r="E1813">
            <v>3.9335146519612598</v>
          </cell>
          <cell r="G1813" t="str">
            <v>LUXEMBOURG</v>
          </cell>
          <cell r="H1813">
            <v>4</v>
          </cell>
        </row>
        <row r="1814">
          <cell r="B1814" t="str">
            <v>42978EUR12</v>
          </cell>
          <cell r="C1814" t="str">
            <v>42978MALTA</v>
          </cell>
          <cell r="D1814" t="str">
            <v>EUR12</v>
          </cell>
          <cell r="E1814">
            <v>3.9335146519612598</v>
          </cell>
          <cell r="G1814" t="str">
            <v>MALTA</v>
          </cell>
          <cell r="H1814">
            <v>4</v>
          </cell>
        </row>
        <row r="1815">
          <cell r="B1815" t="str">
            <v>42978EUR13</v>
          </cell>
          <cell r="C1815" t="str">
            <v>42978MONTENEGRO</v>
          </cell>
          <cell r="D1815" t="str">
            <v>EUR13</v>
          </cell>
          <cell r="E1815">
            <v>3.9335146519612598</v>
          </cell>
          <cell r="G1815" t="str">
            <v>MONTENEGRO</v>
          </cell>
          <cell r="H1815">
            <v>6</v>
          </cell>
        </row>
        <row r="1816">
          <cell r="B1816" t="str">
            <v>42978EUR14</v>
          </cell>
          <cell r="C1816" t="str">
            <v>42978NETHERLANDS</v>
          </cell>
          <cell r="D1816" t="str">
            <v>EUR14</v>
          </cell>
          <cell r="E1816">
            <v>3.9335146519612598</v>
          </cell>
          <cell r="G1816" t="str">
            <v>NETHERLANDS</v>
          </cell>
          <cell r="H1816">
            <v>4</v>
          </cell>
        </row>
        <row r="1817">
          <cell r="B1817" t="str">
            <v>42978EUR15</v>
          </cell>
          <cell r="C1817" t="str">
            <v>42978PORTUGAL</v>
          </cell>
          <cell r="D1817" t="str">
            <v>EUR15</v>
          </cell>
          <cell r="E1817">
            <v>3.9335146519612598</v>
          </cell>
          <cell r="G1817" t="str">
            <v>PORTUGAL</v>
          </cell>
          <cell r="H1817">
            <v>4</v>
          </cell>
        </row>
        <row r="1818">
          <cell r="B1818" t="str">
            <v>42978EUR16</v>
          </cell>
          <cell r="C1818" t="str">
            <v>42978SLOVAKIA</v>
          </cell>
          <cell r="D1818" t="str">
            <v>EUR16</v>
          </cell>
          <cell r="E1818">
            <v>3.9335146519612598</v>
          </cell>
          <cell r="G1818" t="str">
            <v>SLOVAKIA</v>
          </cell>
          <cell r="H1818">
            <v>5</v>
          </cell>
        </row>
        <row r="1819">
          <cell r="B1819" t="str">
            <v>42978EUR17</v>
          </cell>
          <cell r="C1819" t="str">
            <v>42978SLOVENIA</v>
          </cell>
          <cell r="D1819" t="str">
            <v>EUR17</v>
          </cell>
          <cell r="E1819">
            <v>3.9335146519612598</v>
          </cell>
          <cell r="G1819" t="str">
            <v>SLOVENIA</v>
          </cell>
          <cell r="H1819">
            <v>6</v>
          </cell>
        </row>
        <row r="1820">
          <cell r="B1820" t="str">
            <v>42978EUR18</v>
          </cell>
          <cell r="C1820" t="str">
            <v>42978SPAIN</v>
          </cell>
          <cell r="D1820" t="str">
            <v>EUR18</v>
          </cell>
          <cell r="E1820">
            <v>3.9335146519612598</v>
          </cell>
          <cell r="G1820" t="str">
            <v>SPAIN</v>
          </cell>
          <cell r="H1820">
            <v>4</v>
          </cell>
        </row>
        <row r="1821">
          <cell r="B1821" t="str">
            <v>42978Eastern European Institutions</v>
          </cell>
          <cell r="C1821" t="str">
            <v>42978Eastern European Institutions</v>
          </cell>
          <cell r="D1821" t="str">
            <v>Eastern European Institutions</v>
          </cell>
          <cell r="E1821">
            <v>2.25</v>
          </cell>
          <cell r="G1821" t="str">
            <v>Eastern European Institutions</v>
          </cell>
          <cell r="H1821">
            <v>5</v>
          </cell>
        </row>
        <row r="1822">
          <cell r="B1822" t="str">
            <v>43008AED</v>
          </cell>
          <cell r="C1822" t="str">
            <v>43008U. A. E.</v>
          </cell>
          <cell r="D1822" t="str">
            <v>AED</v>
          </cell>
          <cell r="E1822">
            <v>4.6620087187635253</v>
          </cell>
          <cell r="F1822">
            <v>2.7204999999999999</v>
          </cell>
          <cell r="G1822" t="str">
            <v>U. A. E.</v>
          </cell>
          <cell r="H1822">
            <v>5</v>
          </cell>
        </row>
        <row r="1823">
          <cell r="B1823" t="str">
            <v>43008ARS</v>
          </cell>
          <cell r="C1823" t="str">
            <v>43008ARGENTINA</v>
          </cell>
          <cell r="D1823" t="str">
            <v>ARS</v>
          </cell>
          <cell r="E1823">
            <v>17.990265460204196</v>
          </cell>
          <cell r="F1823">
            <v>20.087250000000001</v>
          </cell>
          <cell r="G1823" t="str">
            <v>ARGENTINA</v>
          </cell>
          <cell r="H1823">
            <v>6</v>
          </cell>
        </row>
        <row r="1824">
          <cell r="B1824" t="str">
            <v>43008AUD</v>
          </cell>
          <cell r="C1824" t="str">
            <v>43008AUSTRALIA</v>
          </cell>
          <cell r="D1824" t="str">
            <v>AUD</v>
          </cell>
          <cell r="E1824">
            <v>4.5851880612438647</v>
          </cell>
          <cell r="F1824">
            <v>2.1307499999999999</v>
          </cell>
          <cell r="G1824" t="str">
            <v>AUSTRALIA</v>
          </cell>
          <cell r="H1824">
            <v>3.5644213119679771</v>
          </cell>
        </row>
        <row r="1825">
          <cell r="B1825" t="str">
            <v>43008BDT</v>
          </cell>
          <cell r="C1825" t="str">
            <v>43008BANGLADESH</v>
          </cell>
          <cell r="D1825" t="str">
            <v>BDT</v>
          </cell>
          <cell r="E1825">
            <v>7.9021683840962789</v>
          </cell>
          <cell r="F1825">
            <v>5.7439999999999998</v>
          </cell>
          <cell r="G1825" t="str">
            <v>BANGLADESH</v>
          </cell>
          <cell r="H1825">
            <v>6</v>
          </cell>
        </row>
        <row r="1826">
          <cell r="B1826" t="str">
            <v>43008BRL</v>
          </cell>
          <cell r="C1826" t="str">
            <v>43008BRAZIL</v>
          </cell>
          <cell r="D1826" t="str">
            <v>BRL</v>
          </cell>
          <cell r="E1826">
            <v>6.2148777564735616</v>
          </cell>
          <cell r="F1826">
            <v>3.94475</v>
          </cell>
          <cell r="G1826" t="str">
            <v>BRAZIL</v>
          </cell>
          <cell r="H1826">
            <v>7</v>
          </cell>
        </row>
        <row r="1827">
          <cell r="B1827" t="str">
            <v>43008BWP</v>
          </cell>
          <cell r="C1827" t="str">
            <v>43008BOTSWANA</v>
          </cell>
          <cell r="D1827" t="str">
            <v>BWP</v>
          </cell>
          <cell r="E1827">
            <v>6.0499614643437818</v>
          </cell>
          <cell r="F1827">
            <v>3.7</v>
          </cell>
          <cell r="G1827" t="str">
            <v>BOTSWANA</v>
          </cell>
          <cell r="H1827">
            <v>6</v>
          </cell>
        </row>
        <row r="1828">
          <cell r="B1828" t="str">
            <v>43008CAD</v>
          </cell>
          <cell r="C1828" t="str">
            <v>43008CANADA</v>
          </cell>
          <cell r="D1828" t="str">
            <v>CAD</v>
          </cell>
          <cell r="E1828">
            <v>4.1222740009077699</v>
          </cell>
          <cell r="F1828">
            <v>1.7417499999999999</v>
          </cell>
          <cell r="G1828" t="str">
            <v>CANADA</v>
          </cell>
          <cell r="H1828">
            <v>4</v>
          </cell>
        </row>
        <row r="1829">
          <cell r="B1829" t="str">
            <v>43008CHF</v>
          </cell>
          <cell r="C1829" t="str">
            <v>43008SWITZERLAND</v>
          </cell>
          <cell r="D1829" t="str">
            <v>CHF</v>
          </cell>
          <cell r="E1829">
            <v>3.0079941739934926</v>
          </cell>
          <cell r="F1829">
            <v>0.54125000000000001</v>
          </cell>
          <cell r="G1829" t="str">
            <v>SWITZERLAND</v>
          </cell>
          <cell r="H1829">
            <v>4</v>
          </cell>
        </row>
        <row r="1830">
          <cell r="B1830" t="str">
            <v>43008CLP</v>
          </cell>
          <cell r="C1830" t="str">
            <v>43008CHILE</v>
          </cell>
          <cell r="D1830" t="str">
            <v>CLP</v>
          </cell>
          <cell r="E1830">
            <v>5.0484123079412448</v>
          </cell>
          <cell r="F1830">
            <v>2.6054999999999997</v>
          </cell>
          <cell r="G1830" t="str">
            <v>CHILE</v>
          </cell>
          <cell r="H1830">
            <v>5</v>
          </cell>
        </row>
        <row r="1831">
          <cell r="B1831" t="str">
            <v>43008CNY</v>
          </cell>
          <cell r="C1831" t="str">
            <v>43008CHINA</v>
          </cell>
          <cell r="D1831" t="str">
            <v>CNY</v>
          </cell>
          <cell r="E1831">
            <v>4.6227216883344449</v>
          </cell>
          <cell r="F1831">
            <v>2.2414999999999998</v>
          </cell>
          <cell r="G1831" t="str">
            <v>CHINA</v>
          </cell>
          <cell r="H1831">
            <v>5</v>
          </cell>
        </row>
        <row r="1832">
          <cell r="B1832" t="str">
            <v>43008COP</v>
          </cell>
          <cell r="C1832" t="str">
            <v>43008COLOMBIA</v>
          </cell>
          <cell r="D1832" t="str">
            <v>COP</v>
          </cell>
          <cell r="E1832">
            <v>5.5725281772536031</v>
          </cell>
          <cell r="F1832">
            <v>3.5512500000000005</v>
          </cell>
          <cell r="G1832" t="str">
            <v>COLOMBIA</v>
          </cell>
          <cell r="H1832">
            <v>5</v>
          </cell>
        </row>
        <row r="1833">
          <cell r="B1833" t="str">
            <v>43008CZK</v>
          </cell>
          <cell r="C1833" t="str">
            <v>43008CZECH REPUBLIC</v>
          </cell>
          <cell r="D1833" t="str">
            <v>CZK</v>
          </cell>
          <cell r="E1833">
            <v>4.2698746063343043</v>
          </cell>
          <cell r="F1833">
            <v>1.925</v>
          </cell>
          <cell r="G1833" t="str">
            <v>CZECH REPUBLIC</v>
          </cell>
          <cell r="H1833">
            <v>5</v>
          </cell>
        </row>
        <row r="1834">
          <cell r="B1834" t="str">
            <v>43008DKK</v>
          </cell>
          <cell r="C1834" t="str">
            <v>43008DENMARK</v>
          </cell>
          <cell r="D1834" t="str">
            <v>DKK</v>
          </cell>
          <cell r="E1834">
            <v>3.8892589743980279</v>
          </cell>
          <cell r="F1834">
            <v>1.2999999999999998</v>
          </cell>
          <cell r="G1834" t="str">
            <v>DENMARK</v>
          </cell>
          <cell r="H1834">
            <v>4</v>
          </cell>
        </row>
        <row r="1835">
          <cell r="B1835" t="str">
            <v>43008EGP</v>
          </cell>
          <cell r="C1835" t="str">
            <v>43008EGYPT</v>
          </cell>
          <cell r="D1835" t="str">
            <v>EGP</v>
          </cell>
          <cell r="E1835">
            <v>17.223911384591897</v>
          </cell>
          <cell r="F1835">
            <v>21.892250000000004</v>
          </cell>
          <cell r="G1835" t="str">
            <v>EGYPT</v>
          </cell>
          <cell r="H1835">
            <v>5</v>
          </cell>
        </row>
        <row r="1836">
          <cell r="B1836" t="str">
            <v>43008EUR</v>
          </cell>
          <cell r="C1836" t="str">
            <v>43008AUSTRIA</v>
          </cell>
          <cell r="D1836" t="str">
            <v>EUR</v>
          </cell>
          <cell r="E1836">
            <v>3.9094329204121516</v>
          </cell>
          <cell r="F1836">
            <v>1.7752500000000002</v>
          </cell>
          <cell r="G1836" t="str">
            <v>AUSTRIA</v>
          </cell>
          <cell r="H1836">
            <v>4</v>
          </cell>
        </row>
        <row r="1837">
          <cell r="B1837" t="str">
            <v>43008GBP</v>
          </cell>
          <cell r="C1837" t="str">
            <v>43008UNITED KINGDOM</v>
          </cell>
          <cell r="D1837" t="str">
            <v>GBP</v>
          </cell>
          <cell r="E1837">
            <v>4.572851826949468</v>
          </cell>
          <cell r="F1837">
            <v>2.64</v>
          </cell>
          <cell r="G1837" t="str">
            <v>UNITED KINGDOM</v>
          </cell>
          <cell r="H1837">
            <v>4</v>
          </cell>
        </row>
        <row r="1838">
          <cell r="B1838" t="str">
            <v>43008GEL</v>
          </cell>
          <cell r="C1838" t="str">
            <v>43008GEORGIA</v>
          </cell>
          <cell r="D1838" t="str">
            <v>GEL</v>
          </cell>
          <cell r="E1838">
            <v>5.8824928734512429</v>
          </cell>
          <cell r="F1838">
            <v>3.75075</v>
          </cell>
          <cell r="G1838" t="str">
            <v>GEORGIA</v>
          </cell>
          <cell r="H1838">
            <v>6</v>
          </cell>
        </row>
        <row r="1839">
          <cell r="B1839" t="str">
            <v>43008HKD</v>
          </cell>
          <cell r="C1839" t="str">
            <v>43008HONG KONG</v>
          </cell>
          <cell r="D1839" t="str">
            <v>HKD</v>
          </cell>
          <cell r="E1839">
            <v>4.6496093732118418</v>
          </cell>
          <cell r="F1839">
            <v>2.1500000000000004</v>
          </cell>
          <cell r="G1839" t="str">
            <v>HONG KONG</v>
          </cell>
          <cell r="H1839">
            <v>4</v>
          </cell>
        </row>
        <row r="1840">
          <cell r="B1840" t="str">
            <v>43008GHS</v>
          </cell>
          <cell r="C1840" t="str">
            <v>43008GHANA</v>
          </cell>
          <cell r="D1840" t="str">
            <v>GHS</v>
          </cell>
          <cell r="E1840">
            <v>10.187214977462649</v>
          </cell>
          <cell r="F1840">
            <v>9.6995000000000005</v>
          </cell>
          <cell r="G1840" t="str">
            <v>GHANA</v>
          </cell>
          <cell r="H1840">
            <v>6</v>
          </cell>
        </row>
        <row r="1841">
          <cell r="B1841" t="str">
            <v>43008HRK</v>
          </cell>
          <cell r="C1841" t="str">
            <v>43008CROATIA</v>
          </cell>
          <cell r="D1841" t="str">
            <v>HRK</v>
          </cell>
          <cell r="E1841">
            <v>3.7178170258836554</v>
          </cell>
          <cell r="F1841">
            <v>1.163</v>
          </cell>
          <cell r="G1841" t="str">
            <v>CROATIA</v>
          </cell>
          <cell r="H1841">
            <v>6</v>
          </cell>
        </row>
        <row r="1842">
          <cell r="B1842" t="str">
            <v>43008HUF</v>
          </cell>
          <cell r="C1842" t="str">
            <v>43008HUNGARY</v>
          </cell>
          <cell r="D1842" t="str">
            <v>HUF</v>
          </cell>
          <cell r="E1842">
            <v>5.1731597389506314</v>
          </cell>
          <cell r="F1842">
            <v>3.0225</v>
          </cell>
          <cell r="G1842" t="str">
            <v>HUNGARY</v>
          </cell>
          <cell r="H1842">
            <v>5</v>
          </cell>
        </row>
        <row r="1843">
          <cell r="B1843" t="str">
            <v>43008IDR</v>
          </cell>
          <cell r="C1843" t="str">
            <v>43008INDONESIA</v>
          </cell>
          <cell r="D1843" t="str">
            <v>IDR</v>
          </cell>
          <cell r="E1843">
            <v>6.0561020233165932</v>
          </cell>
          <cell r="F1843">
            <v>3.9347500000000002</v>
          </cell>
          <cell r="G1843" t="str">
            <v>INDONESIA</v>
          </cell>
          <cell r="H1843">
            <v>5</v>
          </cell>
        </row>
        <row r="1844">
          <cell r="B1844" t="str">
            <v>43008ILS</v>
          </cell>
          <cell r="C1844" t="str">
            <v>43008ISRAEL</v>
          </cell>
          <cell r="D1844" t="str">
            <v>ILS</v>
          </cell>
          <cell r="E1844">
            <v>3.4377864885499134</v>
          </cell>
          <cell r="F1844">
            <v>0.44175000000000003</v>
          </cell>
          <cell r="G1844" t="str">
            <v>ISRAEL</v>
          </cell>
          <cell r="H1844">
            <v>4</v>
          </cell>
        </row>
        <row r="1845">
          <cell r="B1845" t="str">
            <v>43008INR</v>
          </cell>
          <cell r="C1845" t="str">
            <v>43008INDIA</v>
          </cell>
          <cell r="D1845" t="str">
            <v>INR</v>
          </cell>
          <cell r="E1845">
            <v>6.9290642495725843</v>
          </cell>
          <cell r="F1845">
            <v>4.6107500000000003</v>
          </cell>
          <cell r="G1845" t="str">
            <v>INDIA</v>
          </cell>
          <cell r="H1845">
            <v>5</v>
          </cell>
        </row>
        <row r="1846">
          <cell r="B1846" t="str">
            <v>43008IQD</v>
          </cell>
          <cell r="C1846" t="str">
            <v>43008IRAQ</v>
          </cell>
          <cell r="D1846" t="str">
            <v>IQD</v>
          </cell>
          <cell r="E1846">
            <v>4.2500000000000018</v>
          </cell>
          <cell r="F1846">
            <v>2</v>
          </cell>
          <cell r="G1846" t="str">
            <v>IRAQ</v>
          </cell>
          <cell r="H1846">
            <v>6</v>
          </cell>
        </row>
        <row r="1847">
          <cell r="B1847" t="str">
            <v>43008JPY</v>
          </cell>
          <cell r="C1847" t="str">
            <v>43008JAPAN</v>
          </cell>
          <cell r="D1847" t="str">
            <v>JPY</v>
          </cell>
          <cell r="E1847">
            <v>3.2418955719258493</v>
          </cell>
          <cell r="F1847">
            <v>0.5</v>
          </cell>
          <cell r="G1847" t="str">
            <v>JAPAN</v>
          </cell>
          <cell r="H1847">
            <v>4</v>
          </cell>
        </row>
        <row r="1848">
          <cell r="B1848" t="str">
            <v>43008KES</v>
          </cell>
          <cell r="C1848" t="str">
            <v>43008KENYA</v>
          </cell>
          <cell r="D1848" t="str">
            <v>KES</v>
          </cell>
          <cell r="E1848">
            <v>7.8760777622805014</v>
          </cell>
          <cell r="F1848">
            <v>5.8797499999999996</v>
          </cell>
          <cell r="G1848" t="str">
            <v>KENYA</v>
          </cell>
          <cell r="H1848">
            <v>7.5</v>
          </cell>
        </row>
        <row r="1849">
          <cell r="B1849" t="str">
            <v>43008JOD</v>
          </cell>
          <cell r="C1849" t="str">
            <v>43008JORDAN</v>
          </cell>
          <cell r="D1849" t="str">
            <v>JOD</v>
          </cell>
          <cell r="E1849">
            <v>4.6978697361492996</v>
          </cell>
          <cell r="F1849">
            <v>1.925</v>
          </cell>
          <cell r="G1849" t="str">
            <v>JORDAN</v>
          </cell>
          <cell r="H1849">
            <v>6</v>
          </cell>
        </row>
        <row r="1850">
          <cell r="B1850" t="str">
            <v>43008KHR</v>
          </cell>
          <cell r="C1850" t="str">
            <v>43008CAMBODIA</v>
          </cell>
          <cell r="D1850" t="str">
            <v>KHR</v>
          </cell>
          <cell r="E1850">
            <v>5.5897576068387114</v>
          </cell>
          <cell r="F1850">
            <v>3.5372500000000002</v>
          </cell>
          <cell r="G1850" t="str">
            <v>CAMBODIA</v>
          </cell>
          <cell r="H1850">
            <v>6</v>
          </cell>
        </row>
        <row r="1851">
          <cell r="B1851" t="str">
            <v>43008KRW</v>
          </cell>
          <cell r="C1851" t="str">
            <v>43008KOREA SOUTH(REPUBLIC OF KOREA)</v>
          </cell>
          <cell r="D1851" t="str">
            <v>KRW</v>
          </cell>
          <cell r="E1851">
            <v>4.1865862759102903</v>
          </cell>
          <cell r="F1851">
            <v>1.8832499999999999</v>
          </cell>
          <cell r="G1851" t="str">
            <v>KOREA SOUTH(REPUBLIC OF KOREA)</v>
          </cell>
          <cell r="H1851">
            <v>5</v>
          </cell>
        </row>
        <row r="1852">
          <cell r="B1852" t="str">
            <v>43008KWD</v>
          </cell>
          <cell r="C1852" t="str">
            <v>43008KUWAIT</v>
          </cell>
          <cell r="D1852" t="str">
            <v>KWD</v>
          </cell>
          <cell r="E1852">
            <v>4.9099688048281278</v>
          </cell>
          <cell r="F1852">
            <v>2.6500000000000004</v>
          </cell>
          <cell r="G1852" t="str">
            <v>KUWAIT</v>
          </cell>
          <cell r="H1852">
            <v>6</v>
          </cell>
        </row>
        <row r="1853">
          <cell r="B1853" t="str">
            <v>43008LKR</v>
          </cell>
          <cell r="C1853" t="str">
            <v>43008SRI LANKA</v>
          </cell>
          <cell r="D1853" t="str">
            <v>LKR</v>
          </cell>
          <cell r="E1853">
            <v>7.4544554456150305</v>
          </cell>
          <cell r="F1853">
            <v>5.2705000000000002</v>
          </cell>
          <cell r="G1853" t="str">
            <v>SRI LANKA</v>
          </cell>
          <cell r="H1853">
            <v>6</v>
          </cell>
        </row>
        <row r="1854">
          <cell r="B1854" t="str">
            <v>43008KZT</v>
          </cell>
          <cell r="C1854" t="str">
            <v>43008KAZAKHSTAN</v>
          </cell>
          <cell r="D1854" t="str">
            <v>KZT</v>
          </cell>
          <cell r="E1854">
            <v>7.9525715275536015</v>
          </cell>
          <cell r="F1854">
            <v>6.7377500000000001</v>
          </cell>
          <cell r="G1854" t="str">
            <v>KAZAKHSTAN</v>
          </cell>
          <cell r="H1854">
            <v>6</v>
          </cell>
        </row>
        <row r="1855">
          <cell r="B1855" t="str">
            <v>43008MAD</v>
          </cell>
          <cell r="C1855" t="str">
            <v>43008MOROCCO</v>
          </cell>
          <cell r="D1855" t="str">
            <v>MAD</v>
          </cell>
          <cell r="E1855">
            <v>3.949092577340644</v>
          </cell>
          <cell r="F1855">
            <v>1.4250000000000003</v>
          </cell>
          <cell r="G1855" t="str">
            <v>MOROCCO</v>
          </cell>
          <cell r="H1855">
            <v>6</v>
          </cell>
        </row>
        <row r="1856">
          <cell r="B1856" t="str">
            <v>43008MXN</v>
          </cell>
          <cell r="C1856" t="str">
            <v>43008MEXICO</v>
          </cell>
          <cell r="D1856" t="str">
            <v>MXN</v>
          </cell>
          <cell r="E1856">
            <v>5.992340553815704</v>
          </cell>
          <cell r="F1856">
            <v>4.282</v>
          </cell>
          <cell r="G1856" t="str">
            <v>MEXICO</v>
          </cell>
          <cell r="H1856">
            <v>7</v>
          </cell>
        </row>
        <row r="1857">
          <cell r="B1857" t="str">
            <v>43008MYR</v>
          </cell>
          <cell r="C1857" t="str">
            <v>43008MALAYSIA</v>
          </cell>
          <cell r="D1857" t="str">
            <v>MYR</v>
          </cell>
          <cell r="E1857">
            <v>5.3922414023925649</v>
          </cell>
          <cell r="F1857">
            <v>3.1264999999999996</v>
          </cell>
          <cell r="G1857" t="str">
            <v>MALAYSIA</v>
          </cell>
          <cell r="H1857">
            <v>5</v>
          </cell>
        </row>
        <row r="1858">
          <cell r="B1858" t="str">
            <v>43008NGN</v>
          </cell>
          <cell r="C1858" t="str">
            <v>43008NIGERIA</v>
          </cell>
          <cell r="D1858" t="str">
            <v>NGN</v>
          </cell>
          <cell r="E1858">
            <v>17.118435691805161</v>
          </cell>
          <cell r="F1858">
            <v>15.168500000000002</v>
          </cell>
          <cell r="G1858" t="str">
            <v>NIGERIA</v>
          </cell>
          <cell r="H1858">
            <v>8</v>
          </cell>
        </row>
        <row r="1859">
          <cell r="B1859" t="str">
            <v>43008NOK</v>
          </cell>
          <cell r="C1859" t="str">
            <v>43008NORWAY</v>
          </cell>
          <cell r="D1859" t="str">
            <v>NOK</v>
          </cell>
          <cell r="E1859">
            <v>4.4698552782504377</v>
          </cell>
          <cell r="F1859">
            <v>2.0249999999999999</v>
          </cell>
          <cell r="G1859" t="str">
            <v>NORWAY</v>
          </cell>
          <cell r="H1859">
            <v>4</v>
          </cell>
        </row>
        <row r="1860">
          <cell r="B1860" t="str">
            <v>43008NZD</v>
          </cell>
          <cell r="C1860" t="str">
            <v>43008NEW ZEALAND</v>
          </cell>
          <cell r="D1860" t="str">
            <v>NZD</v>
          </cell>
          <cell r="E1860">
            <v>4.298955291953658</v>
          </cell>
          <cell r="F1860">
            <v>2.032</v>
          </cell>
          <cell r="G1860" t="str">
            <v>NEW ZEALAND</v>
          </cell>
          <cell r="H1860">
            <v>4</v>
          </cell>
        </row>
        <row r="1861">
          <cell r="B1861" t="str">
            <v>43008OMR</v>
          </cell>
          <cell r="C1861" t="str">
            <v>43008OMAN</v>
          </cell>
          <cell r="D1861" t="str">
            <v>OMR</v>
          </cell>
          <cell r="E1861">
            <v>5.5300764106793112</v>
          </cell>
          <cell r="F1861">
            <v>3.2</v>
          </cell>
          <cell r="G1861" t="str">
            <v>OMAN</v>
          </cell>
          <cell r="H1861">
            <v>6</v>
          </cell>
        </row>
        <row r="1862">
          <cell r="B1862" t="str">
            <v>43008PEN</v>
          </cell>
          <cell r="C1862" t="str">
            <v>43008PERU</v>
          </cell>
          <cell r="D1862" t="str">
            <v>PEN</v>
          </cell>
          <cell r="E1862">
            <v>4.7841083343800364</v>
          </cell>
          <cell r="F1862">
            <v>2.5099999999999998</v>
          </cell>
          <cell r="G1862" t="str">
            <v>PERU</v>
          </cell>
          <cell r="H1862">
            <v>5</v>
          </cell>
        </row>
        <row r="1863">
          <cell r="B1863" t="str">
            <v>43008PGK</v>
          </cell>
          <cell r="C1863" t="str">
            <v>43008PAPUA NEW GUINEA</v>
          </cell>
          <cell r="D1863" t="str">
            <v>PGK</v>
          </cell>
          <cell r="E1863">
            <v>7.4995255025498455</v>
          </cell>
          <cell r="G1863" t="str">
            <v>PAPUA NEW GUINEA</v>
          </cell>
          <cell r="H1863">
            <v>6</v>
          </cell>
        </row>
        <row r="1864">
          <cell r="B1864" t="str">
            <v>43008PHP</v>
          </cell>
          <cell r="C1864" t="str">
            <v>43008PHILIPPINES</v>
          </cell>
          <cell r="D1864" t="str">
            <v>PHP</v>
          </cell>
          <cell r="E1864">
            <v>5.2677962260119484</v>
          </cell>
          <cell r="F1864">
            <v>3.0307500000000003</v>
          </cell>
          <cell r="G1864" t="str">
            <v>PHILIPPINES</v>
          </cell>
          <cell r="H1864">
            <v>5</v>
          </cell>
        </row>
        <row r="1865">
          <cell r="B1865" t="str">
            <v>43008PKR</v>
          </cell>
          <cell r="C1865" t="str">
            <v>43008PAKISTAN</v>
          </cell>
          <cell r="D1865" t="str">
            <v>PKR</v>
          </cell>
          <cell r="E1865">
            <v>7.0444777677836559</v>
          </cell>
          <cell r="F1865">
            <v>4.6572499999999994</v>
          </cell>
          <cell r="G1865" t="str">
            <v>PAKISTAN</v>
          </cell>
          <cell r="H1865">
            <v>6</v>
          </cell>
        </row>
        <row r="1866">
          <cell r="B1866" t="str">
            <v>43008PLN</v>
          </cell>
          <cell r="C1866" t="str">
            <v>43008POLAND</v>
          </cell>
          <cell r="D1866" t="str">
            <v>PLN</v>
          </cell>
          <cell r="E1866">
            <v>4.5901276047671615</v>
          </cell>
          <cell r="F1866">
            <v>2.1795</v>
          </cell>
          <cell r="G1866" t="str">
            <v>POLAND</v>
          </cell>
          <cell r="H1866">
            <v>4.5</v>
          </cell>
        </row>
        <row r="1867">
          <cell r="B1867" t="str">
            <v>43008QAR</v>
          </cell>
          <cell r="C1867" t="str">
            <v>43008QATAR</v>
          </cell>
          <cell r="D1867" t="str">
            <v>QAR</v>
          </cell>
          <cell r="E1867">
            <v>4.6540196279699</v>
          </cell>
          <cell r="F1867">
            <v>3.8494999999999999</v>
          </cell>
          <cell r="G1867" t="str">
            <v>QATAR</v>
          </cell>
          <cell r="H1867">
            <v>6</v>
          </cell>
        </row>
        <row r="1868">
          <cell r="B1868" t="str">
            <v>43008RON</v>
          </cell>
          <cell r="C1868" t="str">
            <v>43008ROMANIA</v>
          </cell>
          <cell r="D1868" t="str">
            <v>RON</v>
          </cell>
          <cell r="E1868">
            <v>4.8563135215117272</v>
          </cell>
          <cell r="F1868">
            <v>2.7589999999999999</v>
          </cell>
          <cell r="G1868" t="str">
            <v>ROMANIA</v>
          </cell>
          <cell r="H1868">
            <v>6</v>
          </cell>
        </row>
        <row r="1869">
          <cell r="B1869" t="str">
            <v>43008RUB</v>
          </cell>
          <cell r="C1869" t="str">
            <v>43008RUSSIAN FEDERATION</v>
          </cell>
          <cell r="D1869" t="str">
            <v>RUB</v>
          </cell>
          <cell r="E1869">
            <v>6.28093982389362</v>
          </cell>
          <cell r="F1869">
            <v>3.9942500000000001</v>
          </cell>
          <cell r="G1869" t="str">
            <v>RUSSIAN FEDERATION</v>
          </cell>
          <cell r="H1869">
            <v>6</v>
          </cell>
        </row>
        <row r="1870">
          <cell r="B1870" t="str">
            <v>43008SAR</v>
          </cell>
          <cell r="C1870" t="str">
            <v>43008SAUDI ARABIA</v>
          </cell>
          <cell r="D1870" t="str">
            <v>SAR</v>
          </cell>
          <cell r="E1870">
            <v>4.4535047351206538</v>
          </cell>
          <cell r="F1870">
            <v>3.6820000000000004</v>
          </cell>
          <cell r="G1870" t="str">
            <v>SAUDI ARABIA</v>
          </cell>
          <cell r="H1870">
            <v>5</v>
          </cell>
        </row>
        <row r="1871">
          <cell r="B1871" t="str">
            <v>43008SEK</v>
          </cell>
          <cell r="C1871" t="str">
            <v>43008SWEDEN</v>
          </cell>
          <cell r="D1871" t="str">
            <v>SEK</v>
          </cell>
          <cell r="E1871">
            <v>4.0036601173208988</v>
          </cell>
          <cell r="F1871">
            <v>1.57975</v>
          </cell>
          <cell r="G1871" t="str">
            <v>SWEDEN</v>
          </cell>
          <cell r="H1871">
            <v>4</v>
          </cell>
        </row>
        <row r="1872">
          <cell r="B1872" t="str">
            <v>43008SGD</v>
          </cell>
          <cell r="C1872" t="str">
            <v>43008SINGAPORE</v>
          </cell>
          <cell r="D1872" t="str">
            <v>SGD</v>
          </cell>
          <cell r="E1872">
            <v>3.7702942633967043</v>
          </cell>
          <cell r="F1872">
            <v>1.1972500000000001</v>
          </cell>
          <cell r="G1872" t="str">
            <v>SINGAPORE</v>
          </cell>
          <cell r="H1872">
            <v>4</v>
          </cell>
        </row>
        <row r="1873">
          <cell r="B1873" t="str">
            <v>43008TZS</v>
          </cell>
          <cell r="C1873" t="str">
            <v>43008TANZANIA, UNITED REPUBLIC OF</v>
          </cell>
          <cell r="D1873" t="str">
            <v>TZS</v>
          </cell>
          <cell r="E1873">
            <v>7.3350620682008962</v>
          </cell>
          <cell r="F1873">
            <v>5.1065000000000005</v>
          </cell>
          <cell r="G1873" t="str">
            <v>TANZANIA, UNITED REPUBLIC OF</v>
          </cell>
          <cell r="H1873">
            <v>6</v>
          </cell>
        </row>
        <row r="1874">
          <cell r="B1874" t="str">
            <v>43008THB</v>
          </cell>
          <cell r="C1874" t="str">
            <v>43008THAILAND</v>
          </cell>
          <cell r="D1874" t="str">
            <v>THB</v>
          </cell>
          <cell r="E1874">
            <v>3.7408219745115137</v>
          </cell>
          <cell r="F1874">
            <v>0.879</v>
          </cell>
          <cell r="G1874" t="str">
            <v>THAILAND</v>
          </cell>
          <cell r="H1874">
            <v>5.0294722888851906</v>
          </cell>
        </row>
        <row r="1875">
          <cell r="B1875" t="str">
            <v>43008TRY</v>
          </cell>
          <cell r="C1875" t="str">
            <v>43008TURKEY</v>
          </cell>
          <cell r="D1875" t="str">
            <v>TRY</v>
          </cell>
          <cell r="E1875">
            <v>11.118952940693809</v>
          </cell>
          <cell r="F1875">
            <v>9.7247500000000002</v>
          </cell>
          <cell r="G1875" t="str">
            <v>TURKEY</v>
          </cell>
          <cell r="H1875">
            <v>5</v>
          </cell>
        </row>
        <row r="1876">
          <cell r="B1876" t="str">
            <v>43008TWD</v>
          </cell>
          <cell r="C1876" t="str">
            <v>43008TAIWAN</v>
          </cell>
          <cell r="D1876" t="str">
            <v>TWD</v>
          </cell>
          <cell r="E1876">
            <v>3.789416680463912</v>
          </cell>
          <cell r="F1876">
            <v>1.2999999999999998</v>
          </cell>
          <cell r="G1876" t="str">
            <v>TAIWAN</v>
          </cell>
          <cell r="H1876">
            <v>5</v>
          </cell>
        </row>
        <row r="1877">
          <cell r="B1877" t="str">
            <v>43008UAH</v>
          </cell>
          <cell r="C1877" t="str">
            <v>43008UKRAINE</v>
          </cell>
          <cell r="D1877" t="str">
            <v>UAH</v>
          </cell>
          <cell r="E1877">
            <v>10.541399723618319</v>
          </cell>
          <cell r="F1877">
            <v>10.655000000000001</v>
          </cell>
          <cell r="G1877" t="str">
            <v>UKRAINE</v>
          </cell>
          <cell r="H1877">
            <v>6</v>
          </cell>
        </row>
        <row r="1878">
          <cell r="B1878" t="str">
            <v>43008USD</v>
          </cell>
          <cell r="C1878" t="str">
            <v>43008UNITED STATES</v>
          </cell>
          <cell r="D1878" t="str">
            <v>USD</v>
          </cell>
          <cell r="E1878">
            <v>4.5424196643396177</v>
          </cell>
          <cell r="F1878">
            <v>0.6885</v>
          </cell>
          <cell r="G1878" t="str">
            <v>UNITED STATES</v>
          </cell>
          <cell r="H1878">
            <v>4</v>
          </cell>
        </row>
        <row r="1879">
          <cell r="B1879" t="str">
            <v>43008VND</v>
          </cell>
          <cell r="C1879" t="str">
            <v>43008VIET NAM</v>
          </cell>
          <cell r="D1879" t="str">
            <v>VND</v>
          </cell>
          <cell r="E1879">
            <v>6.3236954831906536</v>
          </cell>
          <cell r="F1879">
            <v>4.0922499999999999</v>
          </cell>
          <cell r="G1879" t="str">
            <v>VIET NAM</v>
          </cell>
          <cell r="H1879">
            <v>6</v>
          </cell>
        </row>
        <row r="1880">
          <cell r="B1880" t="str">
            <v>43008XOF</v>
          </cell>
          <cell r="C1880" t="str">
            <v>43008MALI</v>
          </cell>
          <cell r="D1880" t="str">
            <v>XOF</v>
          </cell>
          <cell r="E1880">
            <v>3.6355667008617845</v>
          </cell>
          <cell r="G1880" t="str">
            <v>MALI</v>
          </cell>
          <cell r="H1880">
            <v>6</v>
          </cell>
        </row>
        <row r="1881">
          <cell r="B1881" t="str">
            <v>43008ZAR</v>
          </cell>
          <cell r="C1881" t="str">
            <v>43008SOUTH AFRICA</v>
          </cell>
          <cell r="D1881" t="str">
            <v>ZAR</v>
          </cell>
          <cell r="E1881">
            <v>7.7003777514760543</v>
          </cell>
          <cell r="F1881">
            <v>5.3509999999999991</v>
          </cell>
          <cell r="G1881" t="str">
            <v>SOUTH AFRICA</v>
          </cell>
          <cell r="H1881">
            <v>5</v>
          </cell>
        </row>
        <row r="1882">
          <cell r="B1882" t="str">
            <v>43008ZMW</v>
          </cell>
          <cell r="C1882" t="str">
            <v>43008ZAMBIA</v>
          </cell>
          <cell r="D1882" t="str">
            <v>ZMW</v>
          </cell>
          <cell r="E1882">
            <v>9.8889270644663387</v>
          </cell>
          <cell r="G1882" t="str">
            <v>ZAMBIA</v>
          </cell>
          <cell r="H1882">
            <v>6</v>
          </cell>
        </row>
        <row r="1883">
          <cell r="B1883" t="str">
            <v>43008EUR1</v>
          </cell>
          <cell r="C1883" t="str">
            <v>43008BELGIUM</v>
          </cell>
          <cell r="D1883" t="str">
            <v>EUR1</v>
          </cell>
          <cell r="E1883">
            <v>3.9094329204121516</v>
          </cell>
          <cell r="G1883" t="str">
            <v>BELGIUM</v>
          </cell>
          <cell r="H1883">
            <v>4</v>
          </cell>
        </row>
        <row r="1884">
          <cell r="B1884" t="str">
            <v>43008EUR2</v>
          </cell>
          <cell r="C1884" t="str">
            <v>43008CYPRUS</v>
          </cell>
          <cell r="D1884" t="str">
            <v>EUR2</v>
          </cell>
          <cell r="E1884">
            <v>3.9094329204121516</v>
          </cell>
          <cell r="G1884" t="str">
            <v>CYPRUS</v>
          </cell>
          <cell r="H1884">
            <v>5</v>
          </cell>
        </row>
        <row r="1885">
          <cell r="B1885" t="str">
            <v>43008EUR3</v>
          </cell>
          <cell r="C1885" t="str">
            <v>43008ESTONIA</v>
          </cell>
          <cell r="D1885" t="str">
            <v>EUR3</v>
          </cell>
          <cell r="E1885">
            <v>3.9094329204121516</v>
          </cell>
          <cell r="G1885" t="str">
            <v>ESTONIA</v>
          </cell>
          <cell r="H1885">
            <v>6</v>
          </cell>
        </row>
        <row r="1886">
          <cell r="B1886" t="str">
            <v>43008EUR4</v>
          </cell>
          <cell r="C1886" t="str">
            <v>43008FINLAND</v>
          </cell>
          <cell r="D1886" t="str">
            <v>EUR4</v>
          </cell>
          <cell r="E1886">
            <v>3.9094329204121516</v>
          </cell>
          <cell r="G1886" t="str">
            <v>FINLAND</v>
          </cell>
          <cell r="H1886">
            <v>4</v>
          </cell>
        </row>
        <row r="1887">
          <cell r="B1887" t="str">
            <v>43008EUR5</v>
          </cell>
          <cell r="C1887" t="str">
            <v>43008FRANCE</v>
          </cell>
          <cell r="D1887" t="str">
            <v>EUR5</v>
          </cell>
          <cell r="E1887">
            <v>3.9094329204121516</v>
          </cell>
          <cell r="G1887" t="str">
            <v>FRANCE</v>
          </cell>
          <cell r="H1887">
            <v>4</v>
          </cell>
        </row>
        <row r="1888">
          <cell r="B1888" t="str">
            <v>43008EUR6</v>
          </cell>
          <cell r="C1888" t="str">
            <v>43008GERMANY</v>
          </cell>
          <cell r="D1888" t="str">
            <v>EUR6</v>
          </cell>
          <cell r="E1888">
            <v>3.9094329204121516</v>
          </cell>
          <cell r="G1888" t="str">
            <v>GERMANY</v>
          </cell>
          <cell r="H1888">
            <v>4.2436842418356955</v>
          </cell>
        </row>
        <row r="1889">
          <cell r="B1889" t="str">
            <v>43008EUR7</v>
          </cell>
          <cell r="C1889" t="str">
            <v>43008GREECE</v>
          </cell>
          <cell r="D1889" t="str">
            <v>EUR7</v>
          </cell>
          <cell r="E1889">
            <v>3.9094329204121516</v>
          </cell>
          <cell r="G1889" t="str">
            <v>GREECE</v>
          </cell>
          <cell r="H1889">
            <v>7</v>
          </cell>
        </row>
        <row r="1890">
          <cell r="B1890" t="str">
            <v>43008EUR8</v>
          </cell>
          <cell r="C1890" t="str">
            <v>43008IRELAND</v>
          </cell>
          <cell r="D1890" t="str">
            <v>EUR8</v>
          </cell>
          <cell r="E1890">
            <v>3.9094329204121516</v>
          </cell>
          <cell r="G1890" t="str">
            <v>IRELAND</v>
          </cell>
          <cell r="H1890">
            <v>4</v>
          </cell>
        </row>
        <row r="1891">
          <cell r="B1891" t="str">
            <v>43008EUR9</v>
          </cell>
          <cell r="C1891" t="str">
            <v>43008ITALY</v>
          </cell>
          <cell r="D1891" t="str">
            <v>EUR9</v>
          </cell>
          <cell r="E1891">
            <v>3.9094329204121516</v>
          </cell>
          <cell r="G1891" t="str">
            <v>ITALY</v>
          </cell>
          <cell r="H1891">
            <v>4</v>
          </cell>
        </row>
        <row r="1892">
          <cell r="B1892" t="str">
            <v>43008EUR10</v>
          </cell>
          <cell r="C1892" t="str">
            <v>43008LATVIA</v>
          </cell>
          <cell r="D1892" t="str">
            <v>EUR10</v>
          </cell>
          <cell r="E1892">
            <v>3.9094329204121516</v>
          </cell>
          <cell r="G1892" t="str">
            <v>LATVIA</v>
          </cell>
          <cell r="H1892">
            <v>6</v>
          </cell>
        </row>
        <row r="1893">
          <cell r="B1893" t="str">
            <v>43008EUR11</v>
          </cell>
          <cell r="C1893" t="str">
            <v>43008LUXEMBOURG</v>
          </cell>
          <cell r="D1893" t="str">
            <v>EUR11</v>
          </cell>
          <cell r="E1893">
            <v>3.9094329204121516</v>
          </cell>
          <cell r="G1893" t="str">
            <v>LUXEMBOURG</v>
          </cell>
          <cell r="H1893">
            <v>4</v>
          </cell>
        </row>
        <row r="1894">
          <cell r="B1894" t="str">
            <v>43008EUR12</v>
          </cell>
          <cell r="C1894" t="str">
            <v>43008MALTA</v>
          </cell>
          <cell r="D1894" t="str">
            <v>EUR12</v>
          </cell>
          <cell r="E1894">
            <v>3.9094329204121516</v>
          </cell>
          <cell r="G1894" t="str">
            <v>MALTA</v>
          </cell>
          <cell r="H1894">
            <v>4</v>
          </cell>
        </row>
        <row r="1895">
          <cell r="B1895" t="str">
            <v>43008EUR13</v>
          </cell>
          <cell r="C1895" t="str">
            <v>43008MONTENEGRO</v>
          </cell>
          <cell r="D1895" t="str">
            <v>EUR13</v>
          </cell>
          <cell r="E1895">
            <v>3.9094329204121516</v>
          </cell>
          <cell r="G1895" t="str">
            <v>MONTENEGRO</v>
          </cell>
          <cell r="H1895">
            <v>6</v>
          </cell>
        </row>
        <row r="1896">
          <cell r="B1896" t="str">
            <v>43008EUR14</v>
          </cell>
          <cell r="C1896" t="str">
            <v>43008NETHERLANDS</v>
          </cell>
          <cell r="D1896" t="str">
            <v>EUR14</v>
          </cell>
          <cell r="E1896">
            <v>3.9094329204121516</v>
          </cell>
          <cell r="G1896" t="str">
            <v>NETHERLANDS</v>
          </cell>
          <cell r="H1896">
            <v>4</v>
          </cell>
        </row>
        <row r="1897">
          <cell r="B1897" t="str">
            <v>43008EUR15</v>
          </cell>
          <cell r="C1897" t="str">
            <v>43008PORTUGAL</v>
          </cell>
          <cell r="D1897" t="str">
            <v>EUR15</v>
          </cell>
          <cell r="E1897">
            <v>3.9094329204121516</v>
          </cell>
          <cell r="G1897" t="str">
            <v>PORTUGAL</v>
          </cell>
          <cell r="H1897">
            <v>4</v>
          </cell>
        </row>
        <row r="1898">
          <cell r="B1898" t="str">
            <v>43008EUR16</v>
          </cell>
          <cell r="C1898" t="str">
            <v>43008SLOVAKIA</v>
          </cell>
          <cell r="D1898" t="str">
            <v>EUR16</v>
          </cell>
          <cell r="E1898">
            <v>3.9094329204121516</v>
          </cell>
          <cell r="G1898" t="str">
            <v>SLOVAKIA</v>
          </cell>
          <cell r="H1898">
            <v>5</v>
          </cell>
        </row>
        <row r="1899">
          <cell r="B1899" t="str">
            <v>43008EUR17</v>
          </cell>
          <cell r="C1899" t="str">
            <v>43008SLOVENIA</v>
          </cell>
          <cell r="D1899" t="str">
            <v>EUR17</v>
          </cell>
          <cell r="E1899">
            <v>3.9094329204121516</v>
          </cell>
          <cell r="G1899" t="str">
            <v>SLOVENIA</v>
          </cell>
          <cell r="H1899">
            <v>6</v>
          </cell>
        </row>
        <row r="1900">
          <cell r="B1900" t="str">
            <v>43008EUR18</v>
          </cell>
          <cell r="C1900" t="str">
            <v>43008SPAIN</v>
          </cell>
          <cell r="D1900" t="str">
            <v>EUR18</v>
          </cell>
          <cell r="E1900">
            <v>3.9094329204121516</v>
          </cell>
          <cell r="G1900" t="str">
            <v>SPAIN</v>
          </cell>
          <cell r="H1900">
            <v>4</v>
          </cell>
        </row>
        <row r="1901">
          <cell r="B1901" t="str">
            <v>43008Eastern European Institutions</v>
          </cell>
          <cell r="C1901" t="str">
            <v>43008Eastern European Institutions</v>
          </cell>
          <cell r="D1901" t="str">
            <v>Eastern European Institutions</v>
          </cell>
          <cell r="E1901">
            <v>2.25</v>
          </cell>
          <cell r="G1901" t="str">
            <v>Eastern European Institutions</v>
          </cell>
          <cell r="H1901">
            <v>5</v>
          </cell>
        </row>
        <row r="1902">
          <cell r="B1902" t="str">
            <v>43039AED</v>
          </cell>
          <cell r="C1902" t="str">
            <v>43039U. A. E.</v>
          </cell>
          <cell r="D1902" t="str">
            <v>AED</v>
          </cell>
          <cell r="E1902">
            <v>4.6620087187635253</v>
          </cell>
          <cell r="F1902">
            <v>2.7923333333333336</v>
          </cell>
          <cell r="G1902" t="str">
            <v>U. A. E.</v>
          </cell>
          <cell r="H1902">
            <v>5</v>
          </cell>
        </row>
        <row r="1903">
          <cell r="B1903" t="str">
            <v>43039ARS</v>
          </cell>
          <cell r="C1903" t="str">
            <v>43039ARGENTINA</v>
          </cell>
          <cell r="D1903" t="str">
            <v>ARS</v>
          </cell>
          <cell r="E1903">
            <v>17.990265460204196</v>
          </cell>
          <cell r="F1903">
            <v>19.333833333333335</v>
          </cell>
          <cell r="G1903" t="str">
            <v>ARGENTINA</v>
          </cell>
          <cell r="H1903">
            <v>6</v>
          </cell>
        </row>
        <row r="1904">
          <cell r="B1904" t="str">
            <v>43039AUD</v>
          </cell>
          <cell r="C1904" t="str">
            <v>43039AUSTRALIA</v>
          </cell>
          <cell r="D1904" t="str">
            <v>AUD</v>
          </cell>
          <cell r="E1904">
            <v>4.5851880612438647</v>
          </cell>
          <cell r="F1904">
            <v>2.1441666666666661</v>
          </cell>
          <cell r="G1904" t="str">
            <v>AUSTRALIA</v>
          </cell>
          <cell r="H1904">
            <v>3.5644213119679771</v>
          </cell>
        </row>
        <row r="1905">
          <cell r="B1905" t="str">
            <v>43039BDT</v>
          </cell>
          <cell r="C1905" t="str">
            <v>43039BANGLADESH</v>
          </cell>
          <cell r="D1905" t="str">
            <v>BDT</v>
          </cell>
          <cell r="E1905">
            <v>7.9021683840962789</v>
          </cell>
          <cell r="F1905">
            <v>5.7469999999999999</v>
          </cell>
          <cell r="G1905" t="str">
            <v>BANGLADESH</v>
          </cell>
          <cell r="H1905">
            <v>6</v>
          </cell>
        </row>
        <row r="1906">
          <cell r="B1906" t="str">
            <v>43039BRL</v>
          </cell>
          <cell r="C1906" t="str">
            <v>43039BRAZIL</v>
          </cell>
          <cell r="D1906" t="str">
            <v>BRL</v>
          </cell>
          <cell r="E1906">
            <v>6.2148777564735616</v>
          </cell>
          <cell r="F1906">
            <v>3.9765000000000001</v>
          </cell>
          <cell r="G1906" t="str">
            <v>BRAZIL</v>
          </cell>
          <cell r="H1906">
            <v>7</v>
          </cell>
        </row>
        <row r="1907">
          <cell r="B1907" t="str">
            <v>43039BWP</v>
          </cell>
          <cell r="C1907" t="str">
            <v>43039BOTSWANA</v>
          </cell>
          <cell r="D1907" t="str">
            <v>BWP</v>
          </cell>
          <cell r="E1907">
            <v>6.0499614643437818</v>
          </cell>
          <cell r="F1907">
            <v>3.7</v>
          </cell>
          <cell r="G1907" t="str">
            <v>BOTSWANA</v>
          </cell>
          <cell r="H1907">
            <v>6</v>
          </cell>
        </row>
        <row r="1908">
          <cell r="B1908" t="str">
            <v>43039CAD</v>
          </cell>
          <cell r="C1908" t="str">
            <v>43039CANADA</v>
          </cell>
          <cell r="D1908" t="str">
            <v>CAD</v>
          </cell>
          <cell r="E1908">
            <v>4.1222740009077699</v>
          </cell>
          <cell r="F1908">
            <v>1.7571666666666665</v>
          </cell>
          <cell r="G1908" t="str">
            <v>CANADA</v>
          </cell>
          <cell r="H1908">
            <v>4</v>
          </cell>
        </row>
        <row r="1909">
          <cell r="B1909" t="str">
            <v>43039CHF</v>
          </cell>
          <cell r="C1909" t="str">
            <v>43039SWITZERLAND</v>
          </cell>
          <cell r="D1909" t="str">
            <v>CHF</v>
          </cell>
          <cell r="E1909">
            <v>3.0079941739934926</v>
          </cell>
          <cell r="F1909">
            <v>0.54949999999999999</v>
          </cell>
          <cell r="G1909" t="str">
            <v>SWITZERLAND</v>
          </cell>
          <cell r="H1909">
            <v>4</v>
          </cell>
        </row>
        <row r="1910">
          <cell r="B1910" t="str">
            <v>43039CLP</v>
          </cell>
          <cell r="C1910" t="str">
            <v>43039CHILE</v>
          </cell>
          <cell r="D1910" t="str">
            <v>CLP</v>
          </cell>
          <cell r="E1910">
            <v>5.0484123079412448</v>
          </cell>
          <cell r="F1910">
            <v>2.6416666666666666</v>
          </cell>
          <cell r="G1910" t="str">
            <v>CHILE</v>
          </cell>
          <cell r="H1910">
            <v>5</v>
          </cell>
        </row>
        <row r="1911">
          <cell r="B1911" t="str">
            <v>43039CNY</v>
          </cell>
          <cell r="C1911" t="str">
            <v>43039CHINA</v>
          </cell>
          <cell r="D1911" t="str">
            <v>CNY</v>
          </cell>
          <cell r="E1911">
            <v>4.6227216883344449</v>
          </cell>
          <cell r="F1911">
            <v>2.2943333333333333</v>
          </cell>
          <cell r="G1911" t="str">
            <v>CHINA</v>
          </cell>
          <cell r="H1911">
            <v>5</v>
          </cell>
        </row>
        <row r="1912">
          <cell r="B1912" t="str">
            <v>43039COP</v>
          </cell>
          <cell r="C1912" t="str">
            <v>43039COLOMBIA</v>
          </cell>
          <cell r="D1912" t="str">
            <v>COP</v>
          </cell>
          <cell r="E1912">
            <v>5.5725281772536031</v>
          </cell>
          <cell r="F1912">
            <v>3.4651666666666667</v>
          </cell>
          <cell r="G1912" t="str">
            <v>COLOMBIA</v>
          </cell>
          <cell r="H1912">
            <v>5</v>
          </cell>
        </row>
        <row r="1913">
          <cell r="B1913" t="str">
            <v>43039CZK</v>
          </cell>
          <cell r="C1913" t="str">
            <v>43039CZECH REPUBLIC</v>
          </cell>
          <cell r="D1913" t="str">
            <v>CZK</v>
          </cell>
          <cell r="E1913">
            <v>4.2698746063343043</v>
          </cell>
          <cell r="F1913">
            <v>1.8833333333333333</v>
          </cell>
          <cell r="G1913" t="str">
            <v>CZECH REPUBLIC</v>
          </cell>
          <cell r="H1913">
            <v>5</v>
          </cell>
        </row>
        <row r="1914">
          <cell r="B1914" t="str">
            <v>43039DKK</v>
          </cell>
          <cell r="C1914" t="str">
            <v>43039DENMARK</v>
          </cell>
          <cell r="D1914" t="str">
            <v>DKK</v>
          </cell>
          <cell r="E1914">
            <v>3.8892589743980279</v>
          </cell>
          <cell r="F1914">
            <v>1.3333333333333335</v>
          </cell>
          <cell r="G1914" t="str">
            <v>DENMARK</v>
          </cell>
          <cell r="H1914">
            <v>4</v>
          </cell>
        </row>
        <row r="1915">
          <cell r="B1915" t="str">
            <v>43039EGP</v>
          </cell>
          <cell r="C1915" t="str">
            <v>43039EGYPT</v>
          </cell>
          <cell r="D1915" t="str">
            <v>EGP</v>
          </cell>
          <cell r="E1915">
            <v>17.223911384591897</v>
          </cell>
          <cell r="F1915">
            <v>21.709499999999998</v>
          </cell>
          <cell r="G1915" t="str">
            <v>EGYPT</v>
          </cell>
          <cell r="H1915">
            <v>5</v>
          </cell>
        </row>
        <row r="1916">
          <cell r="B1916" t="str">
            <v>43039EUR</v>
          </cell>
          <cell r="C1916" t="str">
            <v>43039AUSTRIA</v>
          </cell>
          <cell r="D1916" t="str">
            <v>EUR</v>
          </cell>
          <cell r="E1916">
            <v>3.9094329204121516</v>
          </cell>
          <cell r="F1916">
            <v>1.7938333333333332</v>
          </cell>
          <cell r="G1916" t="str">
            <v>AUSTRIA</v>
          </cell>
          <cell r="H1916">
            <v>4</v>
          </cell>
        </row>
        <row r="1917">
          <cell r="B1917" t="str">
            <v>43039GBP</v>
          </cell>
          <cell r="C1917" t="str">
            <v>43039UNITED KINGDOM</v>
          </cell>
          <cell r="D1917" t="str">
            <v>GBP</v>
          </cell>
          <cell r="E1917">
            <v>4.572851826949468</v>
          </cell>
          <cell r="F1917">
            <v>2.6413333333333338</v>
          </cell>
          <cell r="G1917" t="str">
            <v>UNITED KINGDOM</v>
          </cell>
          <cell r="H1917">
            <v>4</v>
          </cell>
        </row>
        <row r="1918">
          <cell r="B1918" t="str">
            <v>43039GEL</v>
          </cell>
          <cell r="C1918" t="str">
            <v>43039GEORGIA</v>
          </cell>
          <cell r="D1918" t="str">
            <v>GEL</v>
          </cell>
          <cell r="E1918">
            <v>5.8824928734512429</v>
          </cell>
          <cell r="F1918">
            <v>3.5001666666666669</v>
          </cell>
          <cell r="G1918" t="str">
            <v>GEORGIA</v>
          </cell>
          <cell r="H1918">
            <v>6</v>
          </cell>
        </row>
        <row r="1919">
          <cell r="B1919" t="str">
            <v>43039HKD</v>
          </cell>
          <cell r="C1919" t="str">
            <v>43039HONG KONG</v>
          </cell>
          <cell r="D1919" t="str">
            <v>HKD</v>
          </cell>
          <cell r="E1919">
            <v>4.6496093732118418</v>
          </cell>
          <cell r="F1919">
            <v>2.1666666666666665</v>
          </cell>
          <cell r="G1919" t="str">
            <v>HONG KONG</v>
          </cell>
          <cell r="H1919">
            <v>4</v>
          </cell>
        </row>
        <row r="1920">
          <cell r="B1920" t="str">
            <v>43039GHS</v>
          </cell>
          <cell r="C1920" t="str">
            <v>43039GHANA</v>
          </cell>
          <cell r="D1920" t="str">
            <v>GHS</v>
          </cell>
          <cell r="E1920">
            <v>10.187214977462649</v>
          </cell>
          <cell r="F1920">
            <v>9.466333333333333</v>
          </cell>
          <cell r="G1920" t="str">
            <v>GHANA</v>
          </cell>
          <cell r="H1920">
            <v>6</v>
          </cell>
        </row>
        <row r="1921">
          <cell r="B1921" t="str">
            <v>43039HRK</v>
          </cell>
          <cell r="C1921" t="str">
            <v>43039CROATIA</v>
          </cell>
          <cell r="D1921" t="str">
            <v>HRK</v>
          </cell>
          <cell r="E1921">
            <v>3.7178170258836554</v>
          </cell>
          <cell r="F1921">
            <v>1.165</v>
          </cell>
          <cell r="G1921" t="str">
            <v>CROATIA</v>
          </cell>
          <cell r="H1921">
            <v>6</v>
          </cell>
        </row>
        <row r="1922">
          <cell r="B1922" t="str">
            <v>43039HUF</v>
          </cell>
          <cell r="C1922" t="str">
            <v>43039HUNGARY</v>
          </cell>
          <cell r="D1922" t="str">
            <v>HUF</v>
          </cell>
          <cell r="E1922">
            <v>5.1731597389506314</v>
          </cell>
          <cell r="F1922">
            <v>3.0790000000000002</v>
          </cell>
          <cell r="G1922" t="str">
            <v>HUNGARY</v>
          </cell>
          <cell r="H1922">
            <v>5</v>
          </cell>
        </row>
        <row r="1923">
          <cell r="B1923" t="str">
            <v>43039IDR</v>
          </cell>
          <cell r="C1923" t="str">
            <v>43039INDONESIA</v>
          </cell>
          <cell r="D1923" t="str">
            <v>IDR</v>
          </cell>
          <cell r="E1923">
            <v>6.0561020233165932</v>
          </cell>
          <cell r="F1923">
            <v>3.9255</v>
          </cell>
          <cell r="G1923" t="str">
            <v>INDONESIA</v>
          </cell>
          <cell r="H1923">
            <v>5</v>
          </cell>
        </row>
        <row r="1924">
          <cell r="B1924" t="str">
            <v>43039ILS</v>
          </cell>
          <cell r="C1924" t="str">
            <v>43039ISRAEL</v>
          </cell>
          <cell r="D1924" t="str">
            <v>ILS</v>
          </cell>
          <cell r="E1924">
            <v>3.4377864885499134</v>
          </cell>
          <cell r="F1924">
            <v>0.47350000000000003</v>
          </cell>
          <cell r="G1924" t="str">
            <v>ISRAEL</v>
          </cell>
          <cell r="H1924">
            <v>4</v>
          </cell>
        </row>
        <row r="1925">
          <cell r="B1925" t="str">
            <v>43039INR</v>
          </cell>
          <cell r="C1925" t="str">
            <v>43039INDIA</v>
          </cell>
          <cell r="D1925" t="str">
            <v>INR</v>
          </cell>
          <cell r="E1925">
            <v>6.9290642495725843</v>
          </cell>
          <cell r="F1925">
            <v>4.7008333333333336</v>
          </cell>
          <cell r="G1925" t="str">
            <v>INDIA</v>
          </cell>
          <cell r="H1925">
            <v>5</v>
          </cell>
        </row>
        <row r="1926">
          <cell r="B1926" t="str">
            <v>43039IQD</v>
          </cell>
          <cell r="C1926" t="str">
            <v>43039IRAQ</v>
          </cell>
          <cell r="D1926" t="str">
            <v>IQD</v>
          </cell>
          <cell r="E1926">
            <v>4.2500000000000018</v>
          </cell>
          <cell r="F1926">
            <v>2</v>
          </cell>
          <cell r="G1926" t="str">
            <v>IRAQ</v>
          </cell>
          <cell r="H1926">
            <v>6</v>
          </cell>
        </row>
        <row r="1927">
          <cell r="B1927" t="str">
            <v>43039JPY</v>
          </cell>
          <cell r="C1927" t="str">
            <v>43039JAPAN</v>
          </cell>
          <cell r="D1927" t="str">
            <v>JPY</v>
          </cell>
          <cell r="E1927">
            <v>3.2418955719258493</v>
          </cell>
          <cell r="F1927">
            <v>0.51500000000000001</v>
          </cell>
          <cell r="G1927" t="str">
            <v>JAPAN</v>
          </cell>
          <cell r="H1927">
            <v>4</v>
          </cell>
        </row>
        <row r="1928">
          <cell r="B1928" t="str">
            <v>43039KES</v>
          </cell>
          <cell r="C1928" t="str">
            <v>43039KENYA</v>
          </cell>
          <cell r="D1928" t="str">
            <v>KES</v>
          </cell>
          <cell r="E1928">
            <v>7.8760777622805014</v>
          </cell>
          <cell r="F1928">
            <v>5.6494999999999997</v>
          </cell>
          <cell r="G1928" t="str">
            <v>KENYA</v>
          </cell>
          <cell r="H1928">
            <v>7.5</v>
          </cell>
        </row>
        <row r="1929">
          <cell r="B1929" t="str">
            <v>43039JOD</v>
          </cell>
          <cell r="C1929" t="str">
            <v>43039JORDAN</v>
          </cell>
          <cell r="D1929" t="str">
            <v>JOD</v>
          </cell>
          <cell r="E1929">
            <v>4.6978697361492996</v>
          </cell>
          <cell r="F1929">
            <v>1.7686666666666664</v>
          </cell>
          <cell r="G1929" t="str">
            <v>JORDAN</v>
          </cell>
          <cell r="H1929">
            <v>6</v>
          </cell>
        </row>
        <row r="1930">
          <cell r="B1930" t="str">
            <v>43039KHR</v>
          </cell>
          <cell r="C1930" t="str">
            <v>43039CAMBODIA</v>
          </cell>
          <cell r="D1930" t="str">
            <v>KHR</v>
          </cell>
          <cell r="E1930">
            <v>5.5897576068387114</v>
          </cell>
          <cell r="F1930">
            <v>3.5201666666666664</v>
          </cell>
          <cell r="G1930" t="str">
            <v>CAMBODIA</v>
          </cell>
          <cell r="H1930">
            <v>6</v>
          </cell>
        </row>
        <row r="1931">
          <cell r="B1931" t="str">
            <v>43039KRW</v>
          </cell>
          <cell r="C1931" t="str">
            <v>43039KOREA SOUTH(REPUBLIC OF KOREA)</v>
          </cell>
          <cell r="D1931" t="str">
            <v>KRW</v>
          </cell>
          <cell r="E1931">
            <v>4.1865862759102903</v>
          </cell>
          <cell r="F1931">
            <v>1.8805000000000001</v>
          </cell>
          <cell r="G1931" t="str">
            <v>KOREA SOUTH(REPUBLIC OF KOREA)</v>
          </cell>
          <cell r="H1931">
            <v>5</v>
          </cell>
        </row>
        <row r="1932">
          <cell r="B1932" t="str">
            <v>43039KWD</v>
          </cell>
          <cell r="C1932" t="str">
            <v>43039KUWAIT</v>
          </cell>
          <cell r="D1932" t="str">
            <v>KWD</v>
          </cell>
          <cell r="E1932">
            <v>4.9099688048281278</v>
          </cell>
          <cell r="F1932">
            <v>2.6666666666666665</v>
          </cell>
          <cell r="G1932" t="str">
            <v>KUWAIT</v>
          </cell>
          <cell r="H1932">
            <v>6</v>
          </cell>
        </row>
        <row r="1933">
          <cell r="B1933" t="str">
            <v>43039LKR</v>
          </cell>
          <cell r="C1933" t="str">
            <v>43039SRI LANKA</v>
          </cell>
          <cell r="D1933" t="str">
            <v>LKR</v>
          </cell>
          <cell r="E1933">
            <v>7.4544554456150305</v>
          </cell>
          <cell r="F1933">
            <v>5.1896666666666658</v>
          </cell>
          <cell r="G1933" t="str">
            <v>SRI LANKA</v>
          </cell>
          <cell r="H1933">
            <v>6</v>
          </cell>
        </row>
        <row r="1934">
          <cell r="B1934" t="str">
            <v>43039KZT</v>
          </cell>
          <cell r="C1934" t="str">
            <v>43039KAZAKHSTAN</v>
          </cell>
          <cell r="D1934" t="str">
            <v>KZT</v>
          </cell>
          <cell r="E1934">
            <v>7.9525715275536015</v>
          </cell>
          <cell r="F1934">
            <v>6.6721666666666657</v>
          </cell>
          <cell r="G1934" t="str">
            <v>KAZAKHSTAN</v>
          </cell>
          <cell r="H1934">
            <v>6</v>
          </cell>
        </row>
        <row r="1935">
          <cell r="B1935" t="str">
            <v>43039MAD</v>
          </cell>
          <cell r="C1935" t="str">
            <v>43039MOROCCO</v>
          </cell>
          <cell r="D1935" t="str">
            <v>MAD</v>
          </cell>
          <cell r="E1935">
            <v>3.949092577340644</v>
          </cell>
          <cell r="F1935">
            <v>1.4833333333333332</v>
          </cell>
          <cell r="G1935" t="str">
            <v>MOROCCO</v>
          </cell>
          <cell r="H1935">
            <v>6</v>
          </cell>
        </row>
        <row r="1936">
          <cell r="B1936" t="str">
            <v>43039MXN</v>
          </cell>
          <cell r="C1936" t="str">
            <v>43039MEXICO</v>
          </cell>
          <cell r="D1936" t="str">
            <v>MXN</v>
          </cell>
          <cell r="E1936">
            <v>5.992340553815704</v>
          </cell>
          <cell r="F1936">
            <v>4.1076666666666668</v>
          </cell>
          <cell r="G1936" t="str">
            <v>MEXICO</v>
          </cell>
          <cell r="H1936">
            <v>7</v>
          </cell>
        </row>
        <row r="1937">
          <cell r="B1937" t="str">
            <v>43039MYR</v>
          </cell>
          <cell r="C1937" t="str">
            <v>43039MALAYSIA</v>
          </cell>
          <cell r="D1937" t="str">
            <v>MYR</v>
          </cell>
          <cell r="E1937">
            <v>5.3922414023925649</v>
          </cell>
          <cell r="F1937">
            <v>3.049666666666667</v>
          </cell>
          <cell r="G1937" t="str">
            <v>MALAYSIA</v>
          </cell>
          <cell r="H1937">
            <v>5</v>
          </cell>
        </row>
        <row r="1938">
          <cell r="B1938" t="str">
            <v>43039NGN</v>
          </cell>
          <cell r="C1938" t="str">
            <v>43039NIGERIA</v>
          </cell>
          <cell r="D1938" t="str">
            <v>NGN</v>
          </cell>
          <cell r="E1938">
            <v>17.118435691805161</v>
          </cell>
          <cell r="F1938">
            <v>15.041666666666666</v>
          </cell>
          <cell r="G1938" t="str">
            <v>NIGERIA</v>
          </cell>
          <cell r="H1938">
            <v>8</v>
          </cell>
        </row>
        <row r="1939">
          <cell r="B1939" t="str">
            <v>43039NOK</v>
          </cell>
          <cell r="C1939" t="str">
            <v>43039NORWAY</v>
          </cell>
          <cell r="D1939" t="str">
            <v>NOK</v>
          </cell>
          <cell r="E1939">
            <v>4.4698552782504377</v>
          </cell>
          <cell r="F1939">
            <v>2.0166666666666666</v>
          </cell>
          <cell r="G1939" t="str">
            <v>NORWAY</v>
          </cell>
          <cell r="H1939">
            <v>4</v>
          </cell>
        </row>
        <row r="1940">
          <cell r="B1940" t="str">
            <v>43039NZD</v>
          </cell>
          <cell r="C1940" t="str">
            <v>43039NEW ZEALAND</v>
          </cell>
          <cell r="D1940" t="str">
            <v>NZD</v>
          </cell>
          <cell r="E1940">
            <v>4.298955291953658</v>
          </cell>
          <cell r="F1940">
            <v>2.0093333333333332</v>
          </cell>
          <cell r="G1940" t="str">
            <v>NEW ZEALAND</v>
          </cell>
          <cell r="H1940">
            <v>4</v>
          </cell>
        </row>
        <row r="1941">
          <cell r="B1941" t="str">
            <v>43039OMR</v>
          </cell>
          <cell r="C1941" t="str">
            <v>43039OMAN</v>
          </cell>
          <cell r="D1941" t="str">
            <v>OMR</v>
          </cell>
          <cell r="E1941">
            <v>5.5300764106793112</v>
          </cell>
          <cell r="F1941">
            <v>3.1999999999999997</v>
          </cell>
          <cell r="G1941" t="str">
            <v>OMAN</v>
          </cell>
          <cell r="H1941">
            <v>6</v>
          </cell>
        </row>
        <row r="1942">
          <cell r="B1942" t="str">
            <v>43039PEN</v>
          </cell>
          <cell r="C1942" t="str">
            <v>43039PERU</v>
          </cell>
          <cell r="D1942" t="str">
            <v>PEN</v>
          </cell>
          <cell r="E1942">
            <v>4.7841083343800364</v>
          </cell>
          <cell r="F1942">
            <v>2.4380000000000002</v>
          </cell>
          <cell r="G1942" t="str">
            <v>PERU</v>
          </cell>
          <cell r="H1942">
            <v>5</v>
          </cell>
        </row>
        <row r="1943">
          <cell r="B1943" t="str">
            <v>43039PGK</v>
          </cell>
          <cell r="C1943" t="str">
            <v>43039PAPUA NEW GUINEA</v>
          </cell>
          <cell r="D1943" t="str">
            <v>PGK</v>
          </cell>
          <cell r="E1943">
            <v>7.4995255025498455</v>
          </cell>
          <cell r="F1943">
            <v>5.5416666666666661</v>
          </cell>
          <cell r="G1943" t="str">
            <v>PAPUA NEW GUINEA</v>
          </cell>
          <cell r="H1943">
            <v>6</v>
          </cell>
        </row>
        <row r="1944">
          <cell r="B1944" t="str">
            <v>43039PHP</v>
          </cell>
          <cell r="C1944" t="str">
            <v>43039PHILIPPINES</v>
          </cell>
          <cell r="D1944" t="str">
            <v>PHP</v>
          </cell>
          <cell r="E1944">
            <v>5.2677962260119484</v>
          </cell>
          <cell r="F1944">
            <v>3.0261666666666667</v>
          </cell>
          <cell r="G1944" t="str">
            <v>PHILIPPINES</v>
          </cell>
          <cell r="H1944">
            <v>5</v>
          </cell>
        </row>
        <row r="1945">
          <cell r="B1945" t="str">
            <v>43039PKR</v>
          </cell>
          <cell r="C1945" t="str">
            <v>43039PAKISTAN</v>
          </cell>
          <cell r="D1945" t="str">
            <v>PKR</v>
          </cell>
          <cell r="E1945">
            <v>7.0444777677836559</v>
          </cell>
          <cell r="F1945">
            <v>4.7138333333333335</v>
          </cell>
          <cell r="G1945" t="str">
            <v>PAKISTAN</v>
          </cell>
          <cell r="H1945">
            <v>6</v>
          </cell>
        </row>
        <row r="1946">
          <cell r="B1946" t="str">
            <v>43039PLN</v>
          </cell>
          <cell r="C1946" t="str">
            <v>43039POLAND</v>
          </cell>
          <cell r="D1946" t="str">
            <v>PLN</v>
          </cell>
          <cell r="E1946">
            <v>4.5901276047671615</v>
          </cell>
          <cell r="F1946">
            <v>2.2096666666666667</v>
          </cell>
          <cell r="G1946" t="str">
            <v>POLAND</v>
          </cell>
          <cell r="H1946">
            <v>4.5</v>
          </cell>
        </row>
        <row r="1947">
          <cell r="B1947" t="str">
            <v>43039QAR</v>
          </cell>
          <cell r="C1947" t="str">
            <v>43039QATAR</v>
          </cell>
          <cell r="D1947" t="str">
            <v>QAR</v>
          </cell>
          <cell r="E1947">
            <v>4.6540196279699</v>
          </cell>
          <cell r="F1947">
            <v>4.1820000000000004</v>
          </cell>
          <cell r="G1947" t="str">
            <v>QATAR</v>
          </cell>
          <cell r="H1947">
            <v>6</v>
          </cell>
        </row>
        <row r="1948">
          <cell r="B1948" t="str">
            <v>43039RON</v>
          </cell>
          <cell r="C1948" t="str">
            <v>43039ROMANIA</v>
          </cell>
          <cell r="D1948" t="str">
            <v>RON</v>
          </cell>
          <cell r="E1948">
            <v>4.8563135215117272</v>
          </cell>
          <cell r="F1948">
            <v>2.9433333333333334</v>
          </cell>
          <cell r="G1948" t="str">
            <v>ROMANIA</v>
          </cell>
          <cell r="H1948">
            <v>6</v>
          </cell>
        </row>
        <row r="1949">
          <cell r="B1949" t="str">
            <v>43039RUB</v>
          </cell>
          <cell r="C1949" t="str">
            <v>43039RUSSIAN FEDERATION</v>
          </cell>
          <cell r="D1949" t="str">
            <v>RUB</v>
          </cell>
          <cell r="E1949">
            <v>6.28093982389362</v>
          </cell>
          <cell r="F1949">
            <v>3.9664999999999999</v>
          </cell>
          <cell r="G1949" t="str">
            <v>RUSSIAN FEDERATION</v>
          </cell>
          <cell r="H1949">
            <v>6</v>
          </cell>
        </row>
        <row r="1950">
          <cell r="B1950" t="str">
            <v>43039SAR</v>
          </cell>
          <cell r="C1950" t="str">
            <v>43039SAUDI ARABIA</v>
          </cell>
          <cell r="D1950" t="str">
            <v>SAR</v>
          </cell>
          <cell r="E1950">
            <v>4.4535047351206538</v>
          </cell>
          <cell r="F1950">
            <v>4.1083333333333334</v>
          </cell>
          <cell r="G1950" t="str">
            <v>SAUDI ARABIA</v>
          </cell>
          <cell r="H1950">
            <v>5</v>
          </cell>
        </row>
        <row r="1951">
          <cell r="B1951" t="str">
            <v>43039SEK</v>
          </cell>
          <cell r="C1951" t="str">
            <v>43039SWEDEN</v>
          </cell>
          <cell r="D1951" t="str">
            <v>SEK</v>
          </cell>
          <cell r="E1951">
            <v>4.0036601173208988</v>
          </cell>
          <cell r="F1951">
            <v>1.5781666666666667</v>
          </cell>
          <cell r="G1951" t="str">
            <v>SWEDEN</v>
          </cell>
          <cell r="H1951">
            <v>4</v>
          </cell>
        </row>
        <row r="1952">
          <cell r="B1952" t="str">
            <v>43039SGD</v>
          </cell>
          <cell r="C1952" t="str">
            <v>43039SINGAPORE</v>
          </cell>
          <cell r="D1952" t="str">
            <v>SGD</v>
          </cell>
          <cell r="E1952">
            <v>3.7702942633967043</v>
          </cell>
          <cell r="F1952">
            <v>1.2288333333333332</v>
          </cell>
          <cell r="G1952" t="str">
            <v>SINGAPORE</v>
          </cell>
          <cell r="H1952">
            <v>4</v>
          </cell>
        </row>
        <row r="1953">
          <cell r="B1953" t="str">
            <v>43039TZS</v>
          </cell>
          <cell r="C1953" t="str">
            <v>43039TANZANIA, UNITED REPUBLIC OF</v>
          </cell>
          <cell r="D1953" t="str">
            <v>TZS</v>
          </cell>
          <cell r="E1953">
            <v>7.3350620682008962</v>
          </cell>
          <cell r="F1953">
            <v>5.0710000000000006</v>
          </cell>
          <cell r="G1953" t="str">
            <v>TANZANIA, UNITED REPUBLIC OF</v>
          </cell>
          <cell r="H1953">
            <v>6</v>
          </cell>
        </row>
        <row r="1954">
          <cell r="B1954" t="str">
            <v>43039THB</v>
          </cell>
          <cell r="C1954" t="str">
            <v>43039THAILAND</v>
          </cell>
          <cell r="D1954" t="str">
            <v>THB</v>
          </cell>
          <cell r="E1954">
            <v>3.7408219745115137</v>
          </cell>
          <cell r="F1954">
            <v>0.91133333333333333</v>
          </cell>
          <cell r="G1954" t="str">
            <v>THAILAND</v>
          </cell>
          <cell r="H1954">
            <v>5.0294722888851906</v>
          </cell>
        </row>
        <row r="1955">
          <cell r="B1955" t="str">
            <v>43039TRY</v>
          </cell>
          <cell r="C1955" t="str">
            <v>43039TURKEY</v>
          </cell>
          <cell r="D1955" t="str">
            <v>TRY</v>
          </cell>
          <cell r="E1955">
            <v>11.118952940693809</v>
          </cell>
          <cell r="F1955">
            <v>9.5991666666666671</v>
          </cell>
          <cell r="G1955" t="str">
            <v>TURKEY</v>
          </cell>
          <cell r="H1955">
            <v>6</v>
          </cell>
        </row>
        <row r="1956">
          <cell r="B1956" t="str">
            <v>43039TWD</v>
          </cell>
          <cell r="C1956" t="str">
            <v>43039TAIWAN</v>
          </cell>
          <cell r="D1956" t="str">
            <v>TWD</v>
          </cell>
          <cell r="E1956">
            <v>3.789416680463912</v>
          </cell>
          <cell r="F1956">
            <v>1.3333333333333335</v>
          </cell>
          <cell r="G1956" t="str">
            <v>TAIWAN</v>
          </cell>
          <cell r="H1956">
            <v>5</v>
          </cell>
        </row>
        <row r="1957">
          <cell r="B1957" t="str">
            <v>43039UAH</v>
          </cell>
          <cell r="C1957" t="str">
            <v>43039UKRAINE</v>
          </cell>
          <cell r="D1957" t="str">
            <v>UAH</v>
          </cell>
          <cell r="E1957">
            <v>10.541399723618319</v>
          </cell>
          <cell r="F1957">
            <v>10.420333333333334</v>
          </cell>
          <cell r="G1957" t="str">
            <v>UKRAINE</v>
          </cell>
          <cell r="H1957">
            <v>6</v>
          </cell>
        </row>
        <row r="1958">
          <cell r="B1958" t="str">
            <v>43039USD</v>
          </cell>
          <cell r="C1958" t="str">
            <v>43039UNITED STATES</v>
          </cell>
          <cell r="D1958" t="str">
            <v>USD</v>
          </cell>
          <cell r="E1958">
            <v>4.5424196643396177</v>
          </cell>
          <cell r="F1958">
            <v>2.1226666666666665</v>
          </cell>
          <cell r="G1958" t="str">
            <v>UNITED STATES</v>
          </cell>
          <cell r="H1958">
            <v>4</v>
          </cell>
        </row>
        <row r="1959">
          <cell r="B1959" t="str">
            <v>43039VND</v>
          </cell>
          <cell r="C1959" t="str">
            <v>43039VIET NAM</v>
          </cell>
          <cell r="D1959" t="str">
            <v>VND</v>
          </cell>
          <cell r="E1959">
            <v>6.3236954831906536</v>
          </cell>
          <cell r="F1959">
            <v>4.0615000000000006</v>
          </cell>
          <cell r="G1959" t="str">
            <v>VIET NAM</v>
          </cell>
          <cell r="H1959">
            <v>6</v>
          </cell>
        </row>
        <row r="1960">
          <cell r="B1960" t="str">
            <v>43039XOF</v>
          </cell>
          <cell r="C1960" t="str">
            <v>43039MALI</v>
          </cell>
          <cell r="D1960" t="str">
            <v>XOF</v>
          </cell>
          <cell r="E1960">
            <v>3.6355667008617845</v>
          </cell>
          <cell r="F1960">
            <v>1.0456666666666665</v>
          </cell>
          <cell r="G1960" t="str">
            <v>MALI</v>
          </cell>
          <cell r="H1960">
            <v>6</v>
          </cell>
        </row>
        <row r="1961">
          <cell r="B1961" t="str">
            <v>43039ZAR</v>
          </cell>
          <cell r="C1961" t="str">
            <v>43039SOUTH AFRICA</v>
          </cell>
          <cell r="D1961" t="str">
            <v>ZAR</v>
          </cell>
          <cell r="E1961">
            <v>7.7003777514760543</v>
          </cell>
          <cell r="F1961">
            <v>5.3426666666666671</v>
          </cell>
          <cell r="G1961" t="str">
            <v>SOUTH AFRICA</v>
          </cell>
          <cell r="H1961">
            <v>5</v>
          </cell>
        </row>
        <row r="1962">
          <cell r="B1962" t="str">
            <v>43039ZMW</v>
          </cell>
          <cell r="C1962" t="str">
            <v>43039ZAMBIA</v>
          </cell>
          <cell r="D1962" t="str">
            <v>ZMW</v>
          </cell>
          <cell r="E1962">
            <v>9.8889270644663387</v>
          </cell>
          <cell r="G1962" t="str">
            <v>ZAMBIA</v>
          </cell>
          <cell r="H1962">
            <v>6</v>
          </cell>
        </row>
        <row r="1963">
          <cell r="B1963" t="str">
            <v>43039EUR1</v>
          </cell>
          <cell r="C1963" t="str">
            <v>43039BELGIUM</v>
          </cell>
          <cell r="D1963" t="str">
            <v>EUR1</v>
          </cell>
          <cell r="E1963">
            <v>3.9094329204121516</v>
          </cell>
          <cell r="G1963" t="str">
            <v>BELGIUM</v>
          </cell>
          <cell r="H1963">
            <v>4</v>
          </cell>
        </row>
        <row r="1964">
          <cell r="B1964" t="str">
            <v>43039EUR2</v>
          </cell>
          <cell r="C1964" t="str">
            <v>43039CYPRUS</v>
          </cell>
          <cell r="D1964" t="str">
            <v>EUR2</v>
          </cell>
          <cell r="E1964">
            <v>3.9094329204121516</v>
          </cell>
          <cell r="G1964" t="str">
            <v>CYPRUS</v>
          </cell>
          <cell r="H1964">
            <v>5</v>
          </cell>
        </row>
        <row r="1965">
          <cell r="B1965" t="str">
            <v>43039EUR3</v>
          </cell>
          <cell r="C1965" t="str">
            <v>43039ESTONIA</v>
          </cell>
          <cell r="D1965" t="str">
            <v>EUR3</v>
          </cell>
          <cell r="E1965">
            <v>3.9094329204121516</v>
          </cell>
          <cell r="G1965" t="str">
            <v>ESTONIA</v>
          </cell>
          <cell r="H1965">
            <v>6</v>
          </cell>
        </row>
        <row r="1966">
          <cell r="B1966" t="str">
            <v>43039EUR4</v>
          </cell>
          <cell r="C1966" t="str">
            <v>43039FINLAND</v>
          </cell>
          <cell r="D1966" t="str">
            <v>EUR4</v>
          </cell>
          <cell r="E1966">
            <v>3.9094329204121516</v>
          </cell>
          <cell r="G1966" t="str">
            <v>FINLAND</v>
          </cell>
          <cell r="H1966">
            <v>4</v>
          </cell>
        </row>
        <row r="1967">
          <cell r="B1967" t="str">
            <v>43039EUR5</v>
          </cell>
          <cell r="C1967" t="str">
            <v>43039FRANCE</v>
          </cell>
          <cell r="D1967" t="str">
            <v>EUR5</v>
          </cell>
          <cell r="E1967">
            <v>3.9094329204121516</v>
          </cell>
          <cell r="G1967" t="str">
            <v>FRANCE</v>
          </cell>
          <cell r="H1967">
            <v>4</v>
          </cell>
        </row>
        <row r="1968">
          <cell r="B1968" t="str">
            <v>43039EUR6</v>
          </cell>
          <cell r="C1968" t="str">
            <v>43039GERMANY</v>
          </cell>
          <cell r="D1968" t="str">
            <v>EUR6</v>
          </cell>
          <cell r="E1968">
            <v>3.9094329204121516</v>
          </cell>
          <cell r="G1968" t="str">
            <v>GERMANY</v>
          </cell>
          <cell r="H1968">
            <v>4.2436842418356955</v>
          </cell>
        </row>
        <row r="1969">
          <cell r="B1969" t="str">
            <v>43039EUR7</v>
          </cell>
          <cell r="C1969" t="str">
            <v>43039GREECE</v>
          </cell>
          <cell r="D1969" t="str">
            <v>EUR7</v>
          </cell>
          <cell r="E1969">
            <v>3.9094329204121516</v>
          </cell>
          <cell r="G1969" t="str">
            <v>GREECE</v>
          </cell>
          <cell r="H1969">
            <v>7</v>
          </cell>
        </row>
        <row r="1970">
          <cell r="B1970" t="str">
            <v>43039EUR8</v>
          </cell>
          <cell r="C1970" t="str">
            <v>43039IRELAND</v>
          </cell>
          <cell r="D1970" t="str">
            <v>EUR8</v>
          </cell>
          <cell r="E1970">
            <v>3.9094329204121516</v>
          </cell>
          <cell r="G1970" t="str">
            <v>IRELAND</v>
          </cell>
          <cell r="H1970">
            <v>4</v>
          </cell>
        </row>
        <row r="1971">
          <cell r="B1971" t="str">
            <v>43039EUR9</v>
          </cell>
          <cell r="C1971" t="str">
            <v>43039ITALY</v>
          </cell>
          <cell r="D1971" t="str">
            <v>EUR9</v>
          </cell>
          <cell r="E1971">
            <v>3.9094329204121516</v>
          </cell>
          <cell r="G1971" t="str">
            <v>ITALY</v>
          </cell>
          <cell r="H1971">
            <v>4</v>
          </cell>
        </row>
        <row r="1972">
          <cell r="B1972" t="str">
            <v>43039EUR10</v>
          </cell>
          <cell r="C1972" t="str">
            <v>43039LATVIA</v>
          </cell>
          <cell r="D1972" t="str">
            <v>EUR10</v>
          </cell>
          <cell r="E1972">
            <v>3.9094329204121516</v>
          </cell>
          <cell r="G1972" t="str">
            <v>LATVIA</v>
          </cell>
          <cell r="H1972">
            <v>6</v>
          </cell>
        </row>
        <row r="1973">
          <cell r="B1973" t="str">
            <v>43039EUR11</v>
          </cell>
          <cell r="C1973" t="str">
            <v>43039LUXEMBOURG</v>
          </cell>
          <cell r="D1973" t="str">
            <v>EUR11</v>
          </cell>
          <cell r="E1973">
            <v>3.9094329204121516</v>
          </cell>
          <cell r="G1973" t="str">
            <v>LUXEMBOURG</v>
          </cell>
          <cell r="H1973">
            <v>4</v>
          </cell>
        </row>
        <row r="1974">
          <cell r="B1974" t="str">
            <v>43039EUR12</v>
          </cell>
          <cell r="C1974" t="str">
            <v>43039MALTA</v>
          </cell>
          <cell r="D1974" t="str">
            <v>EUR12</v>
          </cell>
          <cell r="E1974">
            <v>3.9094329204121516</v>
          </cell>
          <cell r="G1974" t="str">
            <v>MALTA</v>
          </cell>
          <cell r="H1974">
            <v>4</v>
          </cell>
        </row>
        <row r="1975">
          <cell r="B1975" t="str">
            <v>43039EUR13</v>
          </cell>
          <cell r="C1975" t="str">
            <v>43039MONTENEGRO</v>
          </cell>
          <cell r="D1975" t="str">
            <v>EUR13</v>
          </cell>
          <cell r="E1975">
            <v>3.9094329204121516</v>
          </cell>
          <cell r="G1975" t="str">
            <v>MONTENEGRO</v>
          </cell>
          <cell r="H1975">
            <v>6</v>
          </cell>
        </row>
        <row r="1976">
          <cell r="B1976" t="str">
            <v>43039EUR14</v>
          </cell>
          <cell r="C1976" t="str">
            <v>43039NETHERLANDS</v>
          </cell>
          <cell r="D1976" t="str">
            <v>EUR14</v>
          </cell>
          <cell r="E1976">
            <v>3.9094329204121516</v>
          </cell>
          <cell r="G1976" t="str">
            <v>NETHERLANDS</v>
          </cell>
          <cell r="H1976">
            <v>4</v>
          </cell>
        </row>
        <row r="1977">
          <cell r="B1977" t="str">
            <v>43039EUR15</v>
          </cell>
          <cell r="C1977" t="str">
            <v>43039PORTUGAL</v>
          </cell>
          <cell r="D1977" t="str">
            <v>EUR15</v>
          </cell>
          <cell r="E1977">
            <v>3.9094329204121516</v>
          </cell>
          <cell r="G1977" t="str">
            <v>PORTUGAL</v>
          </cell>
          <cell r="H1977">
            <v>4</v>
          </cell>
        </row>
        <row r="1978">
          <cell r="B1978" t="str">
            <v>43039EUR16</v>
          </cell>
          <cell r="C1978" t="str">
            <v>43039SLOVAKIA</v>
          </cell>
          <cell r="D1978" t="str">
            <v>EUR16</v>
          </cell>
          <cell r="E1978">
            <v>3.9094329204121516</v>
          </cell>
          <cell r="G1978" t="str">
            <v>SLOVAKIA</v>
          </cell>
          <cell r="H1978">
            <v>5</v>
          </cell>
        </row>
        <row r="1979">
          <cell r="B1979" t="str">
            <v>43039EUR17</v>
          </cell>
          <cell r="C1979" t="str">
            <v>43039SLOVENIA</v>
          </cell>
          <cell r="D1979" t="str">
            <v>EUR17</v>
          </cell>
          <cell r="E1979">
            <v>3.9094329204121516</v>
          </cell>
          <cell r="G1979" t="str">
            <v>SLOVENIA</v>
          </cell>
          <cell r="H1979">
            <v>6</v>
          </cell>
        </row>
        <row r="1980">
          <cell r="B1980" t="str">
            <v>43039EUR18</v>
          </cell>
          <cell r="C1980" t="str">
            <v>43039SPAIN</v>
          </cell>
          <cell r="D1980" t="str">
            <v>EUR18</v>
          </cell>
          <cell r="E1980">
            <v>3.9094329204121516</v>
          </cell>
          <cell r="G1980" t="str">
            <v>SPAIN</v>
          </cell>
          <cell r="H1980">
            <v>4</v>
          </cell>
        </row>
        <row r="1981">
          <cell r="B1981" t="str">
            <v>43039Eastern European Institutions</v>
          </cell>
          <cell r="C1981" t="str">
            <v>43039Eastern European Institutions</v>
          </cell>
          <cell r="D1981" t="str">
            <v>Eastern European Institutions</v>
          </cell>
          <cell r="E1981">
            <v>2.25</v>
          </cell>
          <cell r="G1981" t="str">
            <v>Eastern European Institutions</v>
          </cell>
          <cell r="H1981">
            <v>5</v>
          </cell>
        </row>
        <row r="1982">
          <cell r="B1982" t="str">
            <v>43067AED</v>
          </cell>
          <cell r="C1982" t="str">
            <v>43067U. A. E.</v>
          </cell>
          <cell r="D1982" t="str">
            <v>AED</v>
          </cell>
          <cell r="E1982">
            <v>4.6620087187635253</v>
          </cell>
          <cell r="F1982">
            <v>2.7923333333333336</v>
          </cell>
          <cell r="G1982" t="str">
            <v>U. A. E.</v>
          </cell>
          <cell r="H1982">
            <v>5</v>
          </cell>
        </row>
        <row r="1983">
          <cell r="B1983" t="str">
            <v>43067ARS</v>
          </cell>
          <cell r="C1983" t="str">
            <v>43067ARGENTINA</v>
          </cell>
          <cell r="D1983" t="str">
            <v>ARS</v>
          </cell>
          <cell r="E1983">
            <v>17.990265460204196</v>
          </cell>
          <cell r="F1983">
            <v>19.333833333333335</v>
          </cell>
          <cell r="G1983" t="str">
            <v>ARGENTINA</v>
          </cell>
          <cell r="H1983">
            <v>6</v>
          </cell>
        </row>
        <row r="1984">
          <cell r="B1984" t="str">
            <v>43067AUD</v>
          </cell>
          <cell r="C1984" t="str">
            <v>43067AUSTRALIA</v>
          </cell>
          <cell r="D1984" t="str">
            <v>AUD</v>
          </cell>
          <cell r="E1984">
            <v>4.5851880612438647</v>
          </cell>
          <cell r="F1984">
            <v>2.1441666666666661</v>
          </cell>
          <cell r="G1984" t="str">
            <v>AUSTRALIA</v>
          </cell>
          <cell r="H1984">
            <v>3.5644213119679771</v>
          </cell>
        </row>
        <row r="1985">
          <cell r="B1985" t="str">
            <v>43067BDT</v>
          </cell>
          <cell r="C1985" t="str">
            <v>43067BANGLADESH</v>
          </cell>
          <cell r="D1985" t="str">
            <v>BDT</v>
          </cell>
          <cell r="E1985">
            <v>7.9021683840962789</v>
          </cell>
          <cell r="F1985">
            <v>5.7469999999999999</v>
          </cell>
          <cell r="G1985" t="str">
            <v>BANGLADESH</v>
          </cell>
          <cell r="H1985">
            <v>6</v>
          </cell>
        </row>
        <row r="1986">
          <cell r="B1986" t="str">
            <v>43067BRL</v>
          </cell>
          <cell r="C1986" t="str">
            <v>43067BRAZIL</v>
          </cell>
          <cell r="D1986" t="str">
            <v>BRL</v>
          </cell>
          <cell r="E1986">
            <v>6.2148777564735616</v>
          </cell>
          <cell r="F1986">
            <v>3.9765000000000001</v>
          </cell>
          <cell r="G1986" t="str">
            <v>BRAZIL</v>
          </cell>
          <cell r="H1986">
            <v>7</v>
          </cell>
        </row>
        <row r="1987">
          <cell r="B1987" t="str">
            <v>43067BWP</v>
          </cell>
          <cell r="C1987" t="str">
            <v>43067BOTSWANA</v>
          </cell>
          <cell r="D1987" t="str">
            <v>BWP</v>
          </cell>
          <cell r="E1987">
            <v>6.0499614643437818</v>
          </cell>
          <cell r="F1987">
            <v>3.7</v>
          </cell>
          <cell r="G1987" t="str">
            <v>BOTSWANA</v>
          </cell>
          <cell r="H1987">
            <v>6</v>
          </cell>
        </row>
        <row r="1988">
          <cell r="B1988" t="str">
            <v>43067CAD</v>
          </cell>
          <cell r="C1988" t="str">
            <v>43067CANADA</v>
          </cell>
          <cell r="D1988" t="str">
            <v>CAD</v>
          </cell>
          <cell r="E1988">
            <v>4.1222740009077699</v>
          </cell>
          <cell r="F1988">
            <v>1.7571666666666665</v>
          </cell>
          <cell r="G1988" t="str">
            <v>CANADA</v>
          </cell>
          <cell r="H1988">
            <v>4</v>
          </cell>
        </row>
        <row r="1989">
          <cell r="B1989" t="str">
            <v>43067CHF</v>
          </cell>
          <cell r="C1989" t="str">
            <v>43067SWITZERLAND</v>
          </cell>
          <cell r="D1989" t="str">
            <v>CHF</v>
          </cell>
          <cell r="E1989">
            <v>3.0079941739934926</v>
          </cell>
          <cell r="F1989">
            <v>0.54949999999999999</v>
          </cell>
          <cell r="G1989" t="str">
            <v>SWITZERLAND</v>
          </cell>
          <cell r="H1989">
            <v>4</v>
          </cell>
        </row>
        <row r="1990">
          <cell r="B1990" t="str">
            <v>43067CLP</v>
          </cell>
          <cell r="C1990" t="str">
            <v>43067CHILE</v>
          </cell>
          <cell r="D1990" t="str">
            <v>CLP</v>
          </cell>
          <cell r="E1990">
            <v>5.0484123079412448</v>
          </cell>
          <cell r="F1990">
            <v>2.6416666666666666</v>
          </cell>
          <cell r="G1990" t="str">
            <v>CHILE</v>
          </cell>
          <cell r="H1990">
            <v>5</v>
          </cell>
        </row>
        <row r="1991">
          <cell r="B1991" t="str">
            <v>43067CNY</v>
          </cell>
          <cell r="C1991" t="str">
            <v>43067CHINA</v>
          </cell>
          <cell r="D1991" t="str">
            <v>CNY</v>
          </cell>
          <cell r="E1991">
            <v>4.6227216883344449</v>
          </cell>
          <cell r="F1991">
            <v>2.2943333333333333</v>
          </cell>
          <cell r="G1991" t="str">
            <v>CHINA</v>
          </cell>
          <cell r="H1991">
            <v>5</v>
          </cell>
        </row>
        <row r="1992">
          <cell r="B1992" t="str">
            <v>43067COP</v>
          </cell>
          <cell r="C1992" t="str">
            <v>43067COLOMBIA</v>
          </cell>
          <cell r="D1992" t="str">
            <v>COP</v>
          </cell>
          <cell r="E1992">
            <v>5.5725281772536031</v>
          </cell>
          <cell r="F1992">
            <v>3.4651666666666667</v>
          </cell>
          <cell r="G1992" t="str">
            <v>COLOMBIA</v>
          </cell>
          <cell r="H1992">
            <v>5</v>
          </cell>
        </row>
        <row r="1993">
          <cell r="B1993" t="str">
            <v>43067CZK</v>
          </cell>
          <cell r="C1993" t="str">
            <v>43067CZECH REPUBLIC</v>
          </cell>
          <cell r="D1993" t="str">
            <v>CZK</v>
          </cell>
          <cell r="E1993">
            <v>4.2698746063343043</v>
          </cell>
          <cell r="F1993">
            <v>1.8833333333333333</v>
          </cell>
          <cell r="G1993" t="str">
            <v>CZECH REPUBLIC</v>
          </cell>
          <cell r="H1993">
            <v>5</v>
          </cell>
        </row>
        <row r="1994">
          <cell r="B1994" t="str">
            <v>43067DKK</v>
          </cell>
          <cell r="C1994" t="str">
            <v>43067DENMARK</v>
          </cell>
          <cell r="D1994" t="str">
            <v>DKK</v>
          </cell>
          <cell r="E1994">
            <v>3.8892589743980279</v>
          </cell>
          <cell r="F1994">
            <v>1.3333333333333335</v>
          </cell>
          <cell r="G1994" t="str">
            <v>DENMARK</v>
          </cell>
          <cell r="H1994">
            <v>4</v>
          </cell>
        </row>
        <row r="1995">
          <cell r="B1995" t="str">
            <v>43067EGP</v>
          </cell>
          <cell r="C1995" t="str">
            <v>43067EGYPT</v>
          </cell>
          <cell r="D1995" t="str">
            <v>EGP</v>
          </cell>
          <cell r="E1995">
            <v>17.223911384591897</v>
          </cell>
          <cell r="F1995">
            <v>21.709499999999998</v>
          </cell>
          <cell r="G1995" t="str">
            <v>EGYPT</v>
          </cell>
          <cell r="H1995">
            <v>5</v>
          </cell>
        </row>
        <row r="1996">
          <cell r="B1996" t="str">
            <v>43067EUR</v>
          </cell>
          <cell r="C1996" t="str">
            <v>43067AUSTRIA</v>
          </cell>
          <cell r="D1996" t="str">
            <v>EUR</v>
          </cell>
          <cell r="E1996">
            <v>3.9094329204121516</v>
          </cell>
          <cell r="F1996">
            <v>1.7938333333333332</v>
          </cell>
          <cell r="G1996" t="str">
            <v>AUSTRIA</v>
          </cell>
          <cell r="H1996">
            <v>4</v>
          </cell>
        </row>
        <row r="1997">
          <cell r="B1997" t="str">
            <v>43067GBP</v>
          </cell>
          <cell r="C1997" t="str">
            <v>43067UNITED KINGDOM</v>
          </cell>
          <cell r="D1997" t="str">
            <v>GBP</v>
          </cell>
          <cell r="E1997">
            <v>4.572851826949468</v>
          </cell>
          <cell r="F1997">
            <v>2.6413333333333338</v>
          </cell>
          <cell r="G1997" t="str">
            <v>UNITED KINGDOM</v>
          </cell>
          <cell r="H1997">
            <v>4</v>
          </cell>
        </row>
        <row r="1998">
          <cell r="B1998" t="str">
            <v>43067GEL</v>
          </cell>
          <cell r="C1998" t="str">
            <v>43067GEORGIA</v>
          </cell>
          <cell r="D1998" t="str">
            <v>GEL</v>
          </cell>
          <cell r="E1998">
            <v>5.8824928734512429</v>
          </cell>
          <cell r="F1998">
            <v>3.5001666666666669</v>
          </cell>
          <cell r="G1998" t="str">
            <v>GEORGIA</v>
          </cell>
          <cell r="H1998">
            <v>6</v>
          </cell>
        </row>
        <row r="1999">
          <cell r="B1999" t="str">
            <v>43067HKD</v>
          </cell>
          <cell r="C1999" t="str">
            <v>43067HONG KONG</v>
          </cell>
          <cell r="D1999" t="str">
            <v>HKD</v>
          </cell>
          <cell r="E1999">
            <v>4.6496093732118418</v>
          </cell>
          <cell r="F1999">
            <v>2.1666666666666665</v>
          </cell>
          <cell r="G1999" t="str">
            <v>HONG KONG</v>
          </cell>
          <cell r="H1999">
            <v>4</v>
          </cell>
        </row>
        <row r="2000">
          <cell r="B2000" t="str">
            <v>43067GHS</v>
          </cell>
          <cell r="C2000" t="str">
            <v>43067GHANA</v>
          </cell>
          <cell r="D2000" t="str">
            <v>GHS</v>
          </cell>
          <cell r="E2000">
            <v>10.187214977462649</v>
          </cell>
          <cell r="F2000">
            <v>9.466333333333333</v>
          </cell>
          <cell r="G2000" t="str">
            <v>GHANA</v>
          </cell>
          <cell r="H2000">
            <v>6</v>
          </cell>
        </row>
        <row r="2001">
          <cell r="B2001" t="str">
            <v>43067HRK</v>
          </cell>
          <cell r="C2001" t="str">
            <v>43067CROATIA</v>
          </cell>
          <cell r="D2001" t="str">
            <v>HRK</v>
          </cell>
          <cell r="E2001">
            <v>3.7178170258836554</v>
          </cell>
          <cell r="F2001">
            <v>1.165</v>
          </cell>
          <cell r="G2001" t="str">
            <v>CROATIA</v>
          </cell>
          <cell r="H2001">
            <v>6</v>
          </cell>
        </row>
        <row r="2002">
          <cell r="B2002" t="str">
            <v>43067HUF</v>
          </cell>
          <cell r="C2002" t="str">
            <v>43067HUNGARY</v>
          </cell>
          <cell r="D2002" t="str">
            <v>HUF</v>
          </cell>
          <cell r="E2002">
            <v>5.1731597389506314</v>
          </cell>
          <cell r="F2002">
            <v>3.0790000000000002</v>
          </cell>
          <cell r="G2002" t="str">
            <v>HUNGARY</v>
          </cell>
          <cell r="H2002">
            <v>5</v>
          </cell>
        </row>
        <row r="2003">
          <cell r="B2003" t="str">
            <v>43067IDR</v>
          </cell>
          <cell r="C2003" t="str">
            <v>43067INDONESIA</v>
          </cell>
          <cell r="D2003" t="str">
            <v>IDR</v>
          </cell>
          <cell r="E2003">
            <v>6.0561020233165932</v>
          </cell>
          <cell r="F2003">
            <v>3.9255</v>
          </cell>
          <cell r="G2003" t="str">
            <v>INDONESIA</v>
          </cell>
          <cell r="H2003">
            <v>5</v>
          </cell>
        </row>
        <row r="2004">
          <cell r="B2004" t="str">
            <v>43067ILS</v>
          </cell>
          <cell r="C2004" t="str">
            <v>43067ISRAEL</v>
          </cell>
          <cell r="D2004" t="str">
            <v>ILS</v>
          </cell>
          <cell r="E2004">
            <v>3.4377864885499134</v>
          </cell>
          <cell r="F2004">
            <v>0.47350000000000003</v>
          </cell>
          <cell r="G2004" t="str">
            <v>ISRAEL</v>
          </cell>
          <cell r="H2004">
            <v>4</v>
          </cell>
        </row>
        <row r="2005">
          <cell r="B2005" t="str">
            <v>43067INR</v>
          </cell>
          <cell r="C2005" t="str">
            <v>43067INDIA</v>
          </cell>
          <cell r="D2005" t="str">
            <v>INR</v>
          </cell>
          <cell r="E2005">
            <v>6.9290642495725843</v>
          </cell>
          <cell r="F2005">
            <v>4.7008333333333336</v>
          </cell>
          <cell r="G2005" t="str">
            <v>INDIA</v>
          </cell>
          <cell r="H2005">
            <v>5</v>
          </cell>
        </row>
        <row r="2006">
          <cell r="B2006" t="str">
            <v>43067IQD</v>
          </cell>
          <cell r="C2006" t="str">
            <v>43067IRAQ</v>
          </cell>
          <cell r="D2006" t="str">
            <v>IQD</v>
          </cell>
          <cell r="E2006">
            <v>4.2500000000000018</v>
          </cell>
          <cell r="F2006">
            <v>2</v>
          </cell>
          <cell r="G2006" t="str">
            <v>IRAQ</v>
          </cell>
          <cell r="H2006">
            <v>6</v>
          </cell>
        </row>
        <row r="2007">
          <cell r="B2007" t="str">
            <v>43067JPY</v>
          </cell>
          <cell r="C2007" t="str">
            <v>43067JAPAN</v>
          </cell>
          <cell r="D2007" t="str">
            <v>JPY</v>
          </cell>
          <cell r="E2007">
            <v>3.2418955719258493</v>
          </cell>
          <cell r="F2007">
            <v>0.51500000000000001</v>
          </cell>
          <cell r="G2007" t="str">
            <v>JAPAN</v>
          </cell>
          <cell r="H2007">
            <v>4</v>
          </cell>
        </row>
        <row r="2008">
          <cell r="B2008" t="str">
            <v>43067KES</v>
          </cell>
          <cell r="C2008" t="str">
            <v>43067KENYA</v>
          </cell>
          <cell r="D2008" t="str">
            <v>KES</v>
          </cell>
          <cell r="E2008">
            <v>7.8760777622805014</v>
          </cell>
          <cell r="F2008">
            <v>5.6494999999999997</v>
          </cell>
          <cell r="G2008" t="str">
            <v>KENYA</v>
          </cell>
          <cell r="H2008">
            <v>7.5</v>
          </cell>
        </row>
        <row r="2009">
          <cell r="B2009" t="str">
            <v>43067JOD</v>
          </cell>
          <cell r="C2009" t="str">
            <v>43067JORDAN</v>
          </cell>
          <cell r="D2009" t="str">
            <v>JOD</v>
          </cell>
          <cell r="E2009">
            <v>4.6978697361492996</v>
          </cell>
          <cell r="F2009">
            <v>1.7686666666666664</v>
          </cell>
          <cell r="G2009" t="str">
            <v>JORDAN</v>
          </cell>
          <cell r="H2009">
            <v>6</v>
          </cell>
        </row>
        <row r="2010">
          <cell r="B2010" t="str">
            <v>43067KHR</v>
          </cell>
          <cell r="C2010" t="str">
            <v>43067CAMBODIA</v>
          </cell>
          <cell r="D2010" t="str">
            <v>KHR</v>
          </cell>
          <cell r="E2010">
            <v>5.5897576068387114</v>
          </cell>
          <cell r="F2010">
            <v>3.5201666666666664</v>
          </cell>
          <cell r="G2010" t="str">
            <v>CAMBODIA</v>
          </cell>
          <cell r="H2010">
            <v>6</v>
          </cell>
        </row>
        <row r="2011">
          <cell r="B2011" t="str">
            <v>43067KRW</v>
          </cell>
          <cell r="C2011" t="str">
            <v>43067KOREA SOUTH(REPUBLIC OF KOREA)</v>
          </cell>
          <cell r="D2011" t="str">
            <v>KRW</v>
          </cell>
          <cell r="E2011">
            <v>4.1865862759102903</v>
          </cell>
          <cell r="F2011">
            <v>1.8805000000000001</v>
          </cell>
          <cell r="G2011" t="str">
            <v>KOREA SOUTH(REPUBLIC OF KOREA)</v>
          </cell>
          <cell r="H2011">
            <v>5</v>
          </cell>
        </row>
        <row r="2012">
          <cell r="B2012" t="str">
            <v>43067KWD</v>
          </cell>
          <cell r="C2012" t="str">
            <v>43067KUWAIT</v>
          </cell>
          <cell r="D2012" t="str">
            <v>KWD</v>
          </cell>
          <cell r="E2012">
            <v>4.9099688048281278</v>
          </cell>
          <cell r="F2012">
            <v>2.6666666666666665</v>
          </cell>
          <cell r="G2012" t="str">
            <v>KUWAIT</v>
          </cell>
          <cell r="H2012">
            <v>6</v>
          </cell>
        </row>
        <row r="2013">
          <cell r="B2013" t="str">
            <v>43067LKR</v>
          </cell>
          <cell r="C2013" t="str">
            <v>43067SRI LANKA</v>
          </cell>
          <cell r="D2013" t="str">
            <v>LKR</v>
          </cell>
          <cell r="E2013">
            <v>7.4544554456150305</v>
          </cell>
          <cell r="F2013">
            <v>5.1896666666666658</v>
          </cell>
          <cell r="G2013" t="str">
            <v>SRI LANKA</v>
          </cell>
          <cell r="H2013">
            <v>6</v>
          </cell>
        </row>
        <row r="2014">
          <cell r="B2014" t="str">
            <v>43067KZT</v>
          </cell>
          <cell r="C2014" t="str">
            <v>43067KAZAKHSTAN</v>
          </cell>
          <cell r="D2014" t="str">
            <v>KZT</v>
          </cell>
          <cell r="E2014">
            <v>7.9525715275536015</v>
          </cell>
          <cell r="F2014">
            <v>6.6721666666666657</v>
          </cell>
          <cell r="G2014" t="str">
            <v>KAZAKHSTAN</v>
          </cell>
          <cell r="H2014">
            <v>6</v>
          </cell>
        </row>
        <row r="2015">
          <cell r="B2015" t="str">
            <v>43067MAD</v>
          </cell>
          <cell r="C2015" t="str">
            <v>43067MOROCCO</v>
          </cell>
          <cell r="D2015" t="str">
            <v>MAD</v>
          </cell>
          <cell r="E2015">
            <v>3.949092577340644</v>
          </cell>
          <cell r="F2015">
            <v>1.4833333333333332</v>
          </cell>
          <cell r="G2015" t="str">
            <v>MOROCCO</v>
          </cell>
          <cell r="H2015">
            <v>6</v>
          </cell>
        </row>
        <row r="2016">
          <cell r="B2016" t="str">
            <v>43067MXN</v>
          </cell>
          <cell r="C2016" t="str">
            <v>43067MEXICO</v>
          </cell>
          <cell r="D2016" t="str">
            <v>MXN</v>
          </cell>
          <cell r="E2016">
            <v>5.992340553815704</v>
          </cell>
          <cell r="F2016">
            <v>4.1076666666666668</v>
          </cell>
          <cell r="G2016" t="str">
            <v>MEXICO</v>
          </cell>
          <cell r="H2016">
            <v>7</v>
          </cell>
        </row>
        <row r="2017">
          <cell r="B2017" t="str">
            <v>43067MYR</v>
          </cell>
          <cell r="C2017" t="str">
            <v>43067MALAYSIA</v>
          </cell>
          <cell r="D2017" t="str">
            <v>MYR</v>
          </cell>
          <cell r="E2017">
            <v>5.3922414023925649</v>
          </cell>
          <cell r="F2017">
            <v>3.049666666666667</v>
          </cell>
          <cell r="G2017" t="str">
            <v>MALAYSIA</v>
          </cell>
          <cell r="H2017">
            <v>5</v>
          </cell>
        </row>
        <row r="2018">
          <cell r="B2018" t="str">
            <v>43067NGN</v>
          </cell>
          <cell r="C2018" t="str">
            <v>43067NIGERIA</v>
          </cell>
          <cell r="D2018" t="str">
            <v>NGN</v>
          </cell>
          <cell r="E2018">
            <v>17.118435691805161</v>
          </cell>
          <cell r="F2018">
            <v>15.041666666666666</v>
          </cell>
          <cell r="G2018" t="str">
            <v>NIGERIA</v>
          </cell>
          <cell r="H2018">
            <v>8</v>
          </cell>
        </row>
        <row r="2019">
          <cell r="B2019" t="str">
            <v>43067NOK</v>
          </cell>
          <cell r="C2019" t="str">
            <v>43067NORWAY</v>
          </cell>
          <cell r="D2019" t="str">
            <v>NOK</v>
          </cell>
          <cell r="E2019">
            <v>4.4698552782504377</v>
          </cell>
          <cell r="F2019">
            <v>2.0166666666666666</v>
          </cell>
          <cell r="G2019" t="str">
            <v>NORWAY</v>
          </cell>
          <cell r="H2019">
            <v>4</v>
          </cell>
        </row>
        <row r="2020">
          <cell r="B2020" t="str">
            <v>43067NZD</v>
          </cell>
          <cell r="C2020" t="str">
            <v>43067NEW ZEALAND</v>
          </cell>
          <cell r="D2020" t="str">
            <v>NZD</v>
          </cell>
          <cell r="E2020">
            <v>4.298955291953658</v>
          </cell>
          <cell r="F2020">
            <v>2.0093333333333332</v>
          </cell>
          <cell r="G2020" t="str">
            <v>NEW ZEALAND</v>
          </cell>
          <cell r="H2020">
            <v>4</v>
          </cell>
        </row>
        <row r="2021">
          <cell r="B2021" t="str">
            <v>43067OMR</v>
          </cell>
          <cell r="C2021" t="str">
            <v>43067OMAN</v>
          </cell>
          <cell r="D2021" t="str">
            <v>OMR</v>
          </cell>
          <cell r="E2021">
            <v>5.5300764106793112</v>
          </cell>
          <cell r="F2021">
            <v>3.1999999999999997</v>
          </cell>
          <cell r="G2021" t="str">
            <v>OMAN</v>
          </cell>
          <cell r="H2021">
            <v>6</v>
          </cell>
        </row>
        <row r="2022">
          <cell r="B2022" t="str">
            <v>43067PEN</v>
          </cell>
          <cell r="C2022" t="str">
            <v>43067PERU</v>
          </cell>
          <cell r="D2022" t="str">
            <v>PEN</v>
          </cell>
          <cell r="E2022">
            <v>4.7841083343800364</v>
          </cell>
          <cell r="F2022">
            <v>2.4380000000000002</v>
          </cell>
          <cell r="G2022" t="str">
            <v>PERU</v>
          </cell>
          <cell r="H2022">
            <v>5</v>
          </cell>
        </row>
        <row r="2023">
          <cell r="B2023" t="str">
            <v>43067PGK</v>
          </cell>
          <cell r="C2023" t="str">
            <v>43067PAPUA NEW GUINEA</v>
          </cell>
          <cell r="D2023" t="str">
            <v>PGK</v>
          </cell>
          <cell r="E2023">
            <v>7.4995255025498455</v>
          </cell>
          <cell r="F2023">
            <v>5.5416666666666661</v>
          </cell>
          <cell r="G2023" t="str">
            <v>PAPUA NEW GUINEA</v>
          </cell>
          <cell r="H2023">
            <v>6</v>
          </cell>
        </row>
        <row r="2024">
          <cell r="B2024" t="str">
            <v>43067PHP</v>
          </cell>
          <cell r="C2024" t="str">
            <v>43067PHILIPPINES</v>
          </cell>
          <cell r="D2024" t="str">
            <v>PHP</v>
          </cell>
          <cell r="E2024">
            <v>5.2677962260119484</v>
          </cell>
          <cell r="F2024">
            <v>3.0261666666666667</v>
          </cell>
          <cell r="G2024" t="str">
            <v>PHILIPPINES</v>
          </cell>
          <cell r="H2024">
            <v>5</v>
          </cell>
        </row>
        <row r="2025">
          <cell r="B2025" t="str">
            <v>43067PKR</v>
          </cell>
          <cell r="C2025" t="str">
            <v>43067PAKISTAN</v>
          </cell>
          <cell r="D2025" t="str">
            <v>PKR</v>
          </cell>
          <cell r="E2025">
            <v>7.0444777677836559</v>
          </cell>
          <cell r="F2025">
            <v>4.7138333333333335</v>
          </cell>
          <cell r="G2025" t="str">
            <v>PAKISTAN</v>
          </cell>
          <cell r="H2025">
            <v>6</v>
          </cell>
        </row>
        <row r="2026">
          <cell r="B2026" t="str">
            <v>43067PLN</v>
          </cell>
          <cell r="C2026" t="str">
            <v>43067POLAND</v>
          </cell>
          <cell r="D2026" t="str">
            <v>PLN</v>
          </cell>
          <cell r="E2026">
            <v>4.5901276047671615</v>
          </cell>
          <cell r="F2026">
            <v>2.2096666666666667</v>
          </cell>
          <cell r="G2026" t="str">
            <v>POLAND</v>
          </cell>
          <cell r="H2026">
            <v>4.5</v>
          </cell>
        </row>
        <row r="2027">
          <cell r="B2027" t="str">
            <v>43067QAR</v>
          </cell>
          <cell r="C2027" t="str">
            <v>43067QATAR</v>
          </cell>
          <cell r="D2027" t="str">
            <v>QAR</v>
          </cell>
          <cell r="E2027">
            <v>4.6540196279699</v>
          </cell>
          <cell r="F2027">
            <v>4.1820000000000004</v>
          </cell>
          <cell r="G2027" t="str">
            <v>QATAR</v>
          </cell>
          <cell r="H2027">
            <v>6</v>
          </cell>
        </row>
        <row r="2028">
          <cell r="B2028" t="str">
            <v>43067RON</v>
          </cell>
          <cell r="C2028" t="str">
            <v>43067ROMANIA</v>
          </cell>
          <cell r="D2028" t="str">
            <v>RON</v>
          </cell>
          <cell r="E2028">
            <v>4.8563135215117272</v>
          </cell>
          <cell r="F2028">
            <v>2.9433333333333334</v>
          </cell>
          <cell r="G2028" t="str">
            <v>ROMANIA</v>
          </cell>
          <cell r="H2028">
            <v>6</v>
          </cell>
        </row>
        <row r="2029">
          <cell r="B2029" t="str">
            <v>43067RUB</v>
          </cell>
          <cell r="C2029" t="str">
            <v>43067RUSSIAN FEDERATION</v>
          </cell>
          <cell r="D2029" t="str">
            <v>RUB</v>
          </cell>
          <cell r="E2029">
            <v>6.28093982389362</v>
          </cell>
          <cell r="F2029">
            <v>3.9664999999999999</v>
          </cell>
          <cell r="G2029" t="str">
            <v>RUSSIAN FEDERATION</v>
          </cell>
          <cell r="H2029">
            <v>6</v>
          </cell>
        </row>
        <row r="2030">
          <cell r="B2030" t="str">
            <v>43067SAR</v>
          </cell>
          <cell r="C2030" t="str">
            <v>43067SAUDI ARABIA</v>
          </cell>
          <cell r="D2030" t="str">
            <v>SAR</v>
          </cell>
          <cell r="E2030">
            <v>4.4535047351206538</v>
          </cell>
          <cell r="F2030">
            <v>4.1083333333333334</v>
          </cell>
          <cell r="G2030" t="str">
            <v>SAUDI ARABIA</v>
          </cell>
          <cell r="H2030">
            <v>5</v>
          </cell>
        </row>
        <row r="2031">
          <cell r="B2031" t="str">
            <v>43067SEK</v>
          </cell>
          <cell r="C2031" t="str">
            <v>43067SWEDEN</v>
          </cell>
          <cell r="D2031" t="str">
            <v>SEK</v>
          </cell>
          <cell r="E2031">
            <v>4.0036601173208988</v>
          </cell>
          <cell r="F2031">
            <v>1.5781666666666667</v>
          </cell>
          <cell r="G2031" t="str">
            <v>SWEDEN</v>
          </cell>
          <cell r="H2031">
            <v>4</v>
          </cell>
        </row>
        <row r="2032">
          <cell r="B2032" t="str">
            <v>43067SGD</v>
          </cell>
          <cell r="C2032" t="str">
            <v>43067SINGAPORE</v>
          </cell>
          <cell r="D2032" t="str">
            <v>SGD</v>
          </cell>
          <cell r="E2032">
            <v>3.7702942633967043</v>
          </cell>
          <cell r="F2032">
            <v>1.2288333333333332</v>
          </cell>
          <cell r="G2032" t="str">
            <v>SINGAPORE</v>
          </cell>
          <cell r="H2032">
            <v>4</v>
          </cell>
        </row>
        <row r="2033">
          <cell r="B2033" t="str">
            <v>43067TZS</v>
          </cell>
          <cell r="C2033" t="str">
            <v>43067TANZANIA, UNITED REPUBLIC OF</v>
          </cell>
          <cell r="D2033" t="str">
            <v>TZS</v>
          </cell>
          <cell r="E2033">
            <v>7.3350620682008962</v>
          </cell>
          <cell r="F2033">
            <v>5.0710000000000006</v>
          </cell>
          <cell r="G2033" t="str">
            <v>TANZANIA, UNITED REPUBLIC OF</v>
          </cell>
          <cell r="H2033">
            <v>6</v>
          </cell>
        </row>
        <row r="2034">
          <cell r="B2034" t="str">
            <v>43067THB</v>
          </cell>
          <cell r="C2034" t="str">
            <v>43067THAILAND</v>
          </cell>
          <cell r="D2034" t="str">
            <v>THB</v>
          </cell>
          <cell r="E2034">
            <v>3.7408219745115137</v>
          </cell>
          <cell r="F2034">
            <v>0.91133333333333333</v>
          </cell>
          <cell r="G2034" t="str">
            <v>THAILAND</v>
          </cell>
          <cell r="H2034">
            <v>5.0294722888851906</v>
          </cell>
        </row>
        <row r="2035">
          <cell r="B2035" t="str">
            <v>43067TRY</v>
          </cell>
          <cell r="C2035" t="str">
            <v>43067TURKEY</v>
          </cell>
          <cell r="D2035" t="str">
            <v>TRY</v>
          </cell>
          <cell r="E2035">
            <v>11.118952940693809</v>
          </cell>
          <cell r="F2035">
            <v>9.5991666666666671</v>
          </cell>
          <cell r="G2035" t="str">
            <v>TURKEY</v>
          </cell>
          <cell r="H2035">
            <v>6</v>
          </cell>
        </row>
        <row r="2036">
          <cell r="B2036" t="str">
            <v>43067TWD</v>
          </cell>
          <cell r="C2036" t="str">
            <v>43067TAIWAN</v>
          </cell>
          <cell r="D2036" t="str">
            <v>TWD</v>
          </cell>
          <cell r="E2036">
            <v>3.789416680463912</v>
          </cell>
          <cell r="F2036">
            <v>1.3333333333333335</v>
          </cell>
          <cell r="G2036" t="str">
            <v>TAIWAN</v>
          </cell>
          <cell r="H2036">
            <v>5</v>
          </cell>
        </row>
        <row r="2037">
          <cell r="B2037" t="str">
            <v>43067UAH</v>
          </cell>
          <cell r="C2037" t="str">
            <v>43067UKRAINE</v>
          </cell>
          <cell r="D2037" t="str">
            <v>UAH</v>
          </cell>
          <cell r="E2037">
            <v>10.541399723618319</v>
          </cell>
          <cell r="F2037">
            <v>10.420333333333334</v>
          </cell>
          <cell r="G2037" t="str">
            <v>UKRAINE</v>
          </cell>
          <cell r="H2037">
            <v>6</v>
          </cell>
        </row>
        <row r="2038">
          <cell r="B2038" t="str">
            <v>43067USD</v>
          </cell>
          <cell r="C2038" t="str">
            <v>43067UNITED STATES</v>
          </cell>
          <cell r="D2038" t="str">
            <v>USD</v>
          </cell>
          <cell r="E2038">
            <v>4.5424196643396177</v>
          </cell>
          <cell r="F2038">
            <v>2.1226666666666665</v>
          </cell>
          <cell r="G2038" t="str">
            <v>UNITED STATES</v>
          </cell>
          <cell r="H2038">
            <v>4</v>
          </cell>
        </row>
        <row r="2039">
          <cell r="B2039" t="str">
            <v>43067VND</v>
          </cell>
          <cell r="C2039" t="str">
            <v>43067VIET NAM</v>
          </cell>
          <cell r="D2039" t="str">
            <v>VND</v>
          </cell>
          <cell r="E2039">
            <v>6.3236954831906536</v>
          </cell>
          <cell r="F2039">
            <v>4.0615000000000006</v>
          </cell>
          <cell r="G2039" t="str">
            <v>VIET NAM</v>
          </cell>
          <cell r="H2039">
            <v>6</v>
          </cell>
        </row>
        <row r="2040">
          <cell r="B2040" t="str">
            <v>43067XOF</v>
          </cell>
          <cell r="C2040" t="str">
            <v>43067MALI</v>
          </cell>
          <cell r="D2040" t="str">
            <v>XOF</v>
          </cell>
          <cell r="E2040">
            <v>3.6355667008617845</v>
          </cell>
          <cell r="F2040">
            <v>1.0456666666666665</v>
          </cell>
          <cell r="G2040" t="str">
            <v>MALI</v>
          </cell>
          <cell r="H2040">
            <v>6</v>
          </cell>
        </row>
        <row r="2041">
          <cell r="B2041" t="str">
            <v>43067ZAR</v>
          </cell>
          <cell r="C2041" t="str">
            <v>43067SOUTH AFRICA</v>
          </cell>
          <cell r="D2041" t="str">
            <v>ZAR</v>
          </cell>
          <cell r="E2041">
            <v>7.7003777514760543</v>
          </cell>
          <cell r="F2041">
            <v>5.3426666666666671</v>
          </cell>
          <cell r="G2041" t="str">
            <v>SOUTH AFRICA</v>
          </cell>
          <cell r="H2041">
            <v>5</v>
          </cell>
        </row>
        <row r="2042">
          <cell r="B2042" t="str">
            <v>43067ZMW</v>
          </cell>
          <cell r="C2042" t="str">
            <v>43067ZAMBIA</v>
          </cell>
          <cell r="D2042" t="str">
            <v>ZMW</v>
          </cell>
          <cell r="E2042">
            <v>9.8889270644663387</v>
          </cell>
          <cell r="G2042" t="str">
            <v>ZAMBIA</v>
          </cell>
          <cell r="H2042">
            <v>6</v>
          </cell>
        </row>
        <row r="2043">
          <cell r="B2043" t="str">
            <v>43067EUR1</v>
          </cell>
          <cell r="C2043" t="str">
            <v>43067BELGIUM</v>
          </cell>
          <cell r="D2043" t="str">
            <v>EUR1</v>
          </cell>
          <cell r="E2043">
            <v>3.9094329204121516</v>
          </cell>
          <cell r="G2043" t="str">
            <v>BELGIUM</v>
          </cell>
          <cell r="H2043">
            <v>4</v>
          </cell>
        </row>
        <row r="2044">
          <cell r="B2044" t="str">
            <v>43067EUR2</v>
          </cell>
          <cell r="C2044" t="str">
            <v>43067CYPRUS</v>
          </cell>
          <cell r="D2044" t="str">
            <v>EUR2</v>
          </cell>
          <cell r="E2044">
            <v>3.9094329204121516</v>
          </cell>
          <cell r="G2044" t="str">
            <v>CYPRUS</v>
          </cell>
          <cell r="H2044">
            <v>5</v>
          </cell>
        </row>
        <row r="2045">
          <cell r="B2045" t="str">
            <v>43067EUR3</v>
          </cell>
          <cell r="C2045" t="str">
            <v>43067ESTONIA</v>
          </cell>
          <cell r="D2045" t="str">
            <v>EUR3</v>
          </cell>
          <cell r="E2045">
            <v>3.9094329204121516</v>
          </cell>
          <cell r="G2045" t="str">
            <v>ESTONIA</v>
          </cell>
          <cell r="H2045">
            <v>6</v>
          </cell>
        </row>
        <row r="2046">
          <cell r="B2046" t="str">
            <v>43067EUR4</v>
          </cell>
          <cell r="C2046" t="str">
            <v>43067FINLAND</v>
          </cell>
          <cell r="D2046" t="str">
            <v>EUR4</v>
          </cell>
          <cell r="E2046">
            <v>3.9094329204121516</v>
          </cell>
          <cell r="G2046" t="str">
            <v>FINLAND</v>
          </cell>
          <cell r="H2046">
            <v>4</v>
          </cell>
        </row>
        <row r="2047">
          <cell r="B2047" t="str">
            <v>43067EUR5</v>
          </cell>
          <cell r="C2047" t="str">
            <v>43067FRANCE</v>
          </cell>
          <cell r="D2047" t="str">
            <v>EUR5</v>
          </cell>
          <cell r="E2047">
            <v>3.9094329204121516</v>
          </cell>
          <cell r="G2047" t="str">
            <v>FRANCE</v>
          </cell>
          <cell r="H2047">
            <v>4</v>
          </cell>
        </row>
        <row r="2048">
          <cell r="B2048" t="str">
            <v>43067EUR6</v>
          </cell>
          <cell r="C2048" t="str">
            <v>43067GERMANY</v>
          </cell>
          <cell r="D2048" t="str">
            <v>EUR6</v>
          </cell>
          <cell r="E2048">
            <v>3.9094329204121516</v>
          </cell>
          <cell r="G2048" t="str">
            <v>GERMANY</v>
          </cell>
          <cell r="H2048">
            <v>4.2436842418356955</v>
          </cell>
        </row>
        <row r="2049">
          <cell r="B2049" t="str">
            <v>43067EUR7</v>
          </cell>
          <cell r="C2049" t="str">
            <v>43067GREECE</v>
          </cell>
          <cell r="D2049" t="str">
            <v>EUR7</v>
          </cell>
          <cell r="E2049">
            <v>3.9094329204121516</v>
          </cell>
          <cell r="G2049" t="str">
            <v>GREECE</v>
          </cell>
          <cell r="H2049">
            <v>7</v>
          </cell>
        </row>
        <row r="2050">
          <cell r="B2050" t="str">
            <v>43067EUR8</v>
          </cell>
          <cell r="C2050" t="str">
            <v>43067IRELAND</v>
          </cell>
          <cell r="D2050" t="str">
            <v>EUR8</v>
          </cell>
          <cell r="E2050">
            <v>3.9094329204121516</v>
          </cell>
          <cell r="G2050" t="str">
            <v>IRELAND</v>
          </cell>
          <cell r="H2050">
            <v>4</v>
          </cell>
        </row>
        <row r="2051">
          <cell r="B2051" t="str">
            <v>43067EUR9</v>
          </cell>
          <cell r="C2051" t="str">
            <v>43067ITALY</v>
          </cell>
          <cell r="D2051" t="str">
            <v>EUR9</v>
          </cell>
          <cell r="E2051">
            <v>3.9094329204121516</v>
          </cell>
          <cell r="G2051" t="str">
            <v>ITALY</v>
          </cell>
          <cell r="H2051">
            <v>4</v>
          </cell>
        </row>
        <row r="2052">
          <cell r="B2052" t="str">
            <v>43067EUR10</v>
          </cell>
          <cell r="C2052" t="str">
            <v>43067LATVIA</v>
          </cell>
          <cell r="D2052" t="str">
            <v>EUR10</v>
          </cell>
          <cell r="E2052">
            <v>3.9094329204121516</v>
          </cell>
          <cell r="G2052" t="str">
            <v>LATVIA</v>
          </cell>
          <cell r="H2052">
            <v>6</v>
          </cell>
        </row>
        <row r="2053">
          <cell r="B2053" t="str">
            <v>43067EUR11</v>
          </cell>
          <cell r="C2053" t="str">
            <v>43067LUXEMBOURG</v>
          </cell>
          <cell r="D2053" t="str">
            <v>EUR11</v>
          </cell>
          <cell r="E2053">
            <v>3.9094329204121516</v>
          </cell>
          <cell r="G2053" t="str">
            <v>LUXEMBOURG</v>
          </cell>
          <cell r="H2053">
            <v>4</v>
          </cell>
        </row>
        <row r="2054">
          <cell r="B2054" t="str">
            <v>43067EUR12</v>
          </cell>
          <cell r="C2054" t="str">
            <v>43067MALTA</v>
          </cell>
          <cell r="D2054" t="str">
            <v>EUR12</v>
          </cell>
          <cell r="E2054">
            <v>3.9094329204121516</v>
          </cell>
          <cell r="G2054" t="str">
            <v>MALTA</v>
          </cell>
          <cell r="H2054">
            <v>4</v>
          </cell>
        </row>
        <row r="2055">
          <cell r="B2055" t="str">
            <v>43067EUR13</v>
          </cell>
          <cell r="C2055" t="str">
            <v>43067MONTENEGRO</v>
          </cell>
          <cell r="D2055" t="str">
            <v>EUR13</v>
          </cell>
          <cell r="E2055">
            <v>3.9094329204121516</v>
          </cell>
          <cell r="G2055" t="str">
            <v>MONTENEGRO</v>
          </cell>
          <cell r="H2055">
            <v>6</v>
          </cell>
        </row>
        <row r="2056">
          <cell r="B2056" t="str">
            <v>43067EUR14</v>
          </cell>
          <cell r="C2056" t="str">
            <v>43067NETHERLANDS</v>
          </cell>
          <cell r="D2056" t="str">
            <v>EUR14</v>
          </cell>
          <cell r="E2056">
            <v>3.9094329204121516</v>
          </cell>
          <cell r="G2056" t="str">
            <v>NETHERLANDS</v>
          </cell>
          <cell r="H2056">
            <v>4</v>
          </cell>
        </row>
        <row r="2057">
          <cell r="B2057" t="str">
            <v>43067EUR15</v>
          </cell>
          <cell r="C2057" t="str">
            <v>43067PORTUGAL</v>
          </cell>
          <cell r="D2057" t="str">
            <v>EUR15</v>
          </cell>
          <cell r="E2057">
            <v>3.9094329204121516</v>
          </cell>
          <cell r="G2057" t="str">
            <v>PORTUGAL</v>
          </cell>
          <cell r="H2057">
            <v>4</v>
          </cell>
        </row>
        <row r="2058">
          <cell r="B2058" t="str">
            <v>43067EUR16</v>
          </cell>
          <cell r="C2058" t="str">
            <v>43067SLOVAKIA</v>
          </cell>
          <cell r="D2058" t="str">
            <v>EUR16</v>
          </cell>
          <cell r="E2058">
            <v>3.9094329204121516</v>
          </cell>
          <cell r="G2058" t="str">
            <v>SLOVAKIA</v>
          </cell>
          <cell r="H2058">
            <v>5</v>
          </cell>
        </row>
        <row r="2059">
          <cell r="B2059" t="str">
            <v>43067EUR17</v>
          </cell>
          <cell r="C2059" t="str">
            <v>43067SLOVENIA</v>
          </cell>
          <cell r="D2059" t="str">
            <v>EUR17</v>
          </cell>
          <cell r="E2059">
            <v>3.9094329204121516</v>
          </cell>
          <cell r="G2059" t="str">
            <v>SLOVENIA</v>
          </cell>
          <cell r="H2059">
            <v>6</v>
          </cell>
        </row>
        <row r="2060">
          <cell r="B2060" t="str">
            <v>43067EUR18</v>
          </cell>
          <cell r="C2060" t="str">
            <v>43067SPAIN</v>
          </cell>
          <cell r="D2060" t="str">
            <v>EUR18</v>
          </cell>
          <cell r="E2060">
            <v>3.9094329204121516</v>
          </cell>
          <cell r="G2060" t="str">
            <v>SPAIN</v>
          </cell>
          <cell r="H2060">
            <v>4</v>
          </cell>
        </row>
        <row r="2061">
          <cell r="B2061" t="str">
            <v>43067Eastern European Institutions</v>
          </cell>
          <cell r="C2061" t="str">
            <v>43067Eastern European Institutions</v>
          </cell>
          <cell r="D2061" t="str">
            <v>Eastern European Institutions</v>
          </cell>
          <cell r="E2061">
            <v>2.25</v>
          </cell>
          <cell r="G2061" t="str">
            <v>Eastern European Institutions</v>
          </cell>
          <cell r="H2061">
            <v>5</v>
          </cell>
        </row>
        <row r="2062">
          <cell r="B2062" t="str">
            <v>43069AED</v>
          </cell>
          <cell r="C2062" t="str">
            <v>43069U. A. E.</v>
          </cell>
          <cell r="D2062" t="str">
            <v>AED</v>
          </cell>
          <cell r="E2062">
            <v>4.6298826044210131</v>
          </cell>
          <cell r="F2062">
            <v>2.8641666666666663</v>
          </cell>
          <cell r="G2062" t="str">
            <v>U. A. E.</v>
          </cell>
          <cell r="H2062">
            <v>5</v>
          </cell>
        </row>
        <row r="2063">
          <cell r="B2063" t="str">
            <v>43069ARS</v>
          </cell>
          <cell r="C2063" t="str">
            <v>43069ARGENTINA</v>
          </cell>
          <cell r="D2063" t="str">
            <v>ARS</v>
          </cell>
          <cell r="E2063">
            <v>14.44874991177603</v>
          </cell>
          <cell r="F2063">
            <v>18.580416666666668</v>
          </cell>
          <cell r="G2063" t="str">
            <v>ARGENTINA</v>
          </cell>
          <cell r="H2063">
            <v>6</v>
          </cell>
        </row>
        <row r="2064">
          <cell r="B2064" t="str">
            <v>43069AUD</v>
          </cell>
          <cell r="C2064" t="str">
            <v>43069AUSTRALIA</v>
          </cell>
          <cell r="D2064" t="str">
            <v>AUD</v>
          </cell>
          <cell r="E2064">
            <v>4.6753160699245102</v>
          </cell>
          <cell r="F2064">
            <v>2.1575833333333332</v>
          </cell>
          <cell r="G2064" t="str">
            <v>AUSTRALIA</v>
          </cell>
          <cell r="H2064">
            <v>3.6742940647500246</v>
          </cell>
        </row>
        <row r="2065">
          <cell r="B2065" t="str">
            <v>43069BDT</v>
          </cell>
          <cell r="C2065" t="str">
            <v>43069BANGLADESH</v>
          </cell>
          <cell r="D2065" t="str">
            <v>BDT</v>
          </cell>
          <cell r="E2065">
            <v>7.8737705387797154</v>
          </cell>
          <cell r="F2065">
            <v>5.75</v>
          </cell>
          <cell r="G2065" t="str">
            <v>BANGLADESH</v>
          </cell>
          <cell r="H2065">
            <v>6</v>
          </cell>
        </row>
        <row r="2066">
          <cell r="B2066" t="str">
            <v>43069BRL</v>
          </cell>
          <cell r="C2066" t="str">
            <v>43069BRAZIL</v>
          </cell>
          <cell r="D2066" t="str">
            <v>BRL</v>
          </cell>
          <cell r="E2066">
            <v>6.2877902337943583</v>
          </cell>
          <cell r="F2066">
            <v>4.0082499999999994</v>
          </cell>
          <cell r="G2066" t="str">
            <v>BRAZIL</v>
          </cell>
          <cell r="H2066">
            <v>7</v>
          </cell>
        </row>
        <row r="2067">
          <cell r="B2067" t="str">
            <v>43069BWP</v>
          </cell>
          <cell r="C2067" t="str">
            <v>43069BOTSWANA</v>
          </cell>
          <cell r="D2067" t="str">
            <v>BWP</v>
          </cell>
          <cell r="E2067">
            <v>6.0999614689788242</v>
          </cell>
          <cell r="F2067">
            <v>3.7</v>
          </cell>
          <cell r="G2067" t="str">
            <v>BOTSWANA</v>
          </cell>
          <cell r="H2067">
            <v>6</v>
          </cell>
        </row>
        <row r="2068">
          <cell r="B2068" t="str">
            <v>43069CAD</v>
          </cell>
          <cell r="C2068" t="str">
            <v>43069CANADA</v>
          </cell>
          <cell r="D2068" t="str">
            <v>CAD</v>
          </cell>
          <cell r="E2068">
            <v>4.1871630208500523</v>
          </cell>
          <cell r="F2068">
            <v>1.7725833333333334</v>
          </cell>
          <cell r="G2068" t="str">
            <v>CANADA</v>
          </cell>
          <cell r="H2068">
            <v>4</v>
          </cell>
        </row>
        <row r="2069">
          <cell r="B2069" t="str">
            <v>43069CHF</v>
          </cell>
          <cell r="C2069" t="str">
            <v>43069SWITZERLAND</v>
          </cell>
          <cell r="D2069" t="str">
            <v>CHF</v>
          </cell>
          <cell r="E2069">
            <v>3.1146767813813128</v>
          </cell>
          <cell r="F2069">
            <v>0.55774999999999997</v>
          </cell>
          <cell r="G2069" t="str">
            <v>SWITZERLAND</v>
          </cell>
          <cell r="H2069">
            <v>4</v>
          </cell>
        </row>
        <row r="2070">
          <cell r="B2070" t="str">
            <v>43069CLP</v>
          </cell>
          <cell r="C2070" t="str">
            <v>43069CHILE</v>
          </cell>
          <cell r="D2070" t="str">
            <v>CLP</v>
          </cell>
          <cell r="E2070">
            <v>5.1927363630763814</v>
          </cell>
          <cell r="F2070">
            <v>2.6778333333333331</v>
          </cell>
          <cell r="G2070" t="str">
            <v>CHILE</v>
          </cell>
          <cell r="H2070">
            <v>5</v>
          </cell>
        </row>
        <row r="2071">
          <cell r="B2071" t="str">
            <v>43069CNY</v>
          </cell>
          <cell r="C2071" t="str">
            <v>43069CHINA</v>
          </cell>
          <cell r="D2071" t="str">
            <v>CNY</v>
          </cell>
          <cell r="E2071">
            <v>4.7899687789558367</v>
          </cell>
          <cell r="F2071">
            <v>2.3471666666666664</v>
          </cell>
          <cell r="G2071" t="str">
            <v>CHINA</v>
          </cell>
          <cell r="H2071">
            <v>5</v>
          </cell>
        </row>
        <row r="2072">
          <cell r="B2072" t="str">
            <v>43069COP</v>
          </cell>
          <cell r="C2072" t="str">
            <v>43069COLOMBIA</v>
          </cell>
          <cell r="D2072" t="str">
            <v>COP</v>
          </cell>
          <cell r="E2072">
            <v>5.3085334347460913</v>
          </cell>
          <cell r="F2072">
            <v>3.3790833333333334</v>
          </cell>
          <cell r="G2072" t="str">
            <v>COLOMBIA</v>
          </cell>
          <cell r="H2072">
            <v>5</v>
          </cell>
        </row>
        <row r="2073">
          <cell r="B2073" t="str">
            <v>43069CZK</v>
          </cell>
          <cell r="C2073" t="str">
            <v>43069CZECH REPUBLIC</v>
          </cell>
          <cell r="D2073" t="str">
            <v>CZK</v>
          </cell>
          <cell r="E2073">
            <v>4.2099685904913677</v>
          </cell>
          <cell r="F2073">
            <v>1.8416666666666668</v>
          </cell>
          <cell r="G2073" t="str">
            <v>CZECH REPUBLIC</v>
          </cell>
          <cell r="H2073">
            <v>5</v>
          </cell>
        </row>
        <row r="2074">
          <cell r="B2074" t="str">
            <v>43069DKK</v>
          </cell>
          <cell r="C2074" t="str">
            <v>43069DENMARK</v>
          </cell>
          <cell r="D2074" t="str">
            <v>DKK</v>
          </cell>
          <cell r="E2074">
            <v>4.0897324438707674</v>
          </cell>
          <cell r="F2074">
            <v>1.3666666666666665</v>
          </cell>
          <cell r="G2074" t="str">
            <v>DENMARK</v>
          </cell>
          <cell r="H2074">
            <v>4</v>
          </cell>
        </row>
        <row r="2075">
          <cell r="B2075" t="str">
            <v>43069EGP</v>
          </cell>
          <cell r="C2075" t="str">
            <v>43069EGYPT</v>
          </cell>
          <cell r="D2075" t="str">
            <v>EGP</v>
          </cell>
          <cell r="E2075">
            <v>13.981775863756955</v>
          </cell>
          <cell r="F2075">
            <v>21.52675</v>
          </cell>
          <cell r="G2075" t="str">
            <v>EGYPT</v>
          </cell>
          <cell r="H2075">
            <v>5</v>
          </cell>
        </row>
        <row r="2076">
          <cell r="B2076" t="str">
            <v>43069EUR</v>
          </cell>
          <cell r="C2076" t="str">
            <v>43069AUSTRIA</v>
          </cell>
          <cell r="D2076" t="str">
            <v>EUR</v>
          </cell>
          <cell r="E2076">
            <v>3.9094329204121516</v>
          </cell>
          <cell r="F2076">
            <v>1.8124166666666666</v>
          </cell>
          <cell r="G2076" t="str">
            <v>AUSTRIA</v>
          </cell>
          <cell r="H2076">
            <v>4</v>
          </cell>
        </row>
        <row r="2077">
          <cell r="B2077" t="str">
            <v>43069GBP</v>
          </cell>
          <cell r="C2077" t="str">
            <v>43069UNITED KINGDOM</v>
          </cell>
          <cell r="D2077" t="str">
            <v>GBP</v>
          </cell>
          <cell r="E2077">
            <v>4.4473176346253842</v>
          </cell>
          <cell r="F2077">
            <v>2.6426666666666669</v>
          </cell>
          <cell r="G2077" t="str">
            <v>UNITED KINGDOM</v>
          </cell>
          <cell r="H2077">
            <v>4</v>
          </cell>
        </row>
        <row r="2078">
          <cell r="B2078" t="str">
            <v>43069GEL</v>
          </cell>
          <cell r="C2078" t="str">
            <v>43069GEORGIA</v>
          </cell>
          <cell r="D2078" t="str">
            <v>GEL</v>
          </cell>
          <cell r="E2078">
            <v>5.2879716218309261</v>
          </cell>
          <cell r="F2078">
            <v>3.2495833333333337</v>
          </cell>
          <cell r="G2078" t="str">
            <v>GEORGIA</v>
          </cell>
          <cell r="H2078">
            <v>6</v>
          </cell>
        </row>
        <row r="2079">
          <cell r="B2079" t="str">
            <v>43069HKD</v>
          </cell>
          <cell r="C2079" t="str">
            <v>43069HONG KONG</v>
          </cell>
          <cell r="D2079" t="str">
            <v>HKD</v>
          </cell>
          <cell r="E2079">
            <v>4.8496101346745348</v>
          </cell>
          <cell r="F2079">
            <v>2.1833333333333336</v>
          </cell>
          <cell r="G2079" t="str">
            <v>HONG KONG</v>
          </cell>
          <cell r="H2079">
            <v>4</v>
          </cell>
        </row>
        <row r="2080">
          <cell r="B2080" t="str">
            <v>43069GHS</v>
          </cell>
          <cell r="C2080" t="str">
            <v>43069GHANA</v>
          </cell>
          <cell r="D2080" t="str">
            <v>GHS</v>
          </cell>
          <cell r="E2080">
            <v>9.0436854529162751</v>
          </cell>
          <cell r="F2080">
            <v>9.2331666666666674</v>
          </cell>
          <cell r="G2080" t="str">
            <v>GHANA</v>
          </cell>
          <cell r="H2080">
            <v>6</v>
          </cell>
        </row>
        <row r="2081">
          <cell r="B2081" t="str">
            <v>43069HRK</v>
          </cell>
          <cell r="C2081" t="str">
            <v>43069CROATIA</v>
          </cell>
          <cell r="D2081" t="str">
            <v>HRK</v>
          </cell>
          <cell r="E2081">
            <v>3.8658567810659497</v>
          </cell>
          <cell r="F2081">
            <v>1.167</v>
          </cell>
          <cell r="G2081" t="str">
            <v>CROATIA</v>
          </cell>
          <cell r="H2081">
            <v>6</v>
          </cell>
        </row>
        <row r="2082">
          <cell r="B2082" t="str">
            <v>43069HUF</v>
          </cell>
          <cell r="C2082" t="str">
            <v>43069HUNGARY</v>
          </cell>
          <cell r="D2082" t="str">
            <v>HUF</v>
          </cell>
          <cell r="E2082">
            <v>5.260959448265238</v>
          </cell>
          <cell r="F2082">
            <v>3.1355</v>
          </cell>
          <cell r="G2082" t="str">
            <v>HUNGARY</v>
          </cell>
          <cell r="H2082">
            <v>5</v>
          </cell>
        </row>
        <row r="2083">
          <cell r="B2083" t="str">
            <v>43069IDR</v>
          </cell>
          <cell r="C2083" t="str">
            <v>43069INDONESIA</v>
          </cell>
          <cell r="D2083" t="str">
            <v>IDR</v>
          </cell>
          <cell r="E2083">
            <v>5.9537088253216277</v>
          </cell>
          <cell r="F2083">
            <v>3.9162500000000007</v>
          </cell>
          <cell r="G2083" t="str">
            <v>INDONESIA</v>
          </cell>
          <cell r="H2083">
            <v>5</v>
          </cell>
        </row>
        <row r="2084">
          <cell r="B2084" t="str">
            <v>43069ILS</v>
          </cell>
          <cell r="C2084" t="str">
            <v>43069ISRAEL</v>
          </cell>
          <cell r="D2084" t="str">
            <v>ILS</v>
          </cell>
          <cell r="E2084">
            <v>3.8072734370978392</v>
          </cell>
          <cell r="F2084">
            <v>0.50524999999999998</v>
          </cell>
          <cell r="G2084" t="str">
            <v>ISRAEL</v>
          </cell>
          <cell r="H2084">
            <v>4</v>
          </cell>
        </row>
        <row r="2085">
          <cell r="B2085" t="str">
            <v>43069INR</v>
          </cell>
          <cell r="C2085" t="str">
            <v>43069INDIA</v>
          </cell>
          <cell r="D2085" t="str">
            <v>INR</v>
          </cell>
          <cell r="E2085">
            <v>7.1603908047480216</v>
          </cell>
          <cell r="F2085">
            <v>4.7909166666666669</v>
          </cell>
          <cell r="G2085" t="str">
            <v>INDIA</v>
          </cell>
          <cell r="H2085">
            <v>5</v>
          </cell>
        </row>
        <row r="2086">
          <cell r="B2086" t="str">
            <v>43069IQD</v>
          </cell>
          <cell r="C2086" t="str">
            <v>43069IRAQ</v>
          </cell>
          <cell r="D2086" t="str">
            <v>IQD</v>
          </cell>
          <cell r="E2086">
            <v>4.2500000000000018</v>
          </cell>
          <cell r="F2086">
            <v>2</v>
          </cell>
          <cell r="G2086" t="str">
            <v>IRAQ</v>
          </cell>
          <cell r="H2086">
            <v>6</v>
          </cell>
        </row>
        <row r="2087">
          <cell r="B2087" t="str">
            <v>43069JPY</v>
          </cell>
          <cell r="C2087" t="str">
            <v>43069JAPAN</v>
          </cell>
          <cell r="D2087" t="str">
            <v>JPY</v>
          </cell>
          <cell r="E2087">
            <v>3.4912168110389921</v>
          </cell>
          <cell r="F2087">
            <v>0.53</v>
          </cell>
          <cell r="G2087" t="str">
            <v>JAPAN</v>
          </cell>
          <cell r="H2087">
            <v>4</v>
          </cell>
        </row>
        <row r="2088">
          <cell r="B2088" t="str">
            <v>43069KES</v>
          </cell>
          <cell r="C2088" t="str">
            <v>43069KENYA</v>
          </cell>
          <cell r="D2088" t="str">
            <v>KES</v>
          </cell>
          <cell r="E2088">
            <v>7.2919739881882863</v>
          </cell>
          <cell r="F2088">
            <v>5.4192499999999999</v>
          </cell>
          <cell r="G2088" t="str">
            <v>KENYA</v>
          </cell>
          <cell r="H2088">
            <v>7.5</v>
          </cell>
        </row>
        <row r="2089">
          <cell r="B2089" t="str">
            <v>43069JOD</v>
          </cell>
          <cell r="C2089" t="str">
            <v>43069JORDAN</v>
          </cell>
          <cell r="D2089" t="str">
            <v>JOD</v>
          </cell>
          <cell r="E2089">
            <v>4.5363507664002247</v>
          </cell>
          <cell r="F2089">
            <v>1.6123333333333332</v>
          </cell>
          <cell r="G2089" t="str">
            <v>JORDAN</v>
          </cell>
          <cell r="H2089">
            <v>6</v>
          </cell>
        </row>
        <row r="2090">
          <cell r="B2090" t="str">
            <v>43069KHR</v>
          </cell>
          <cell r="C2090" t="str">
            <v>43069CAMBODIA</v>
          </cell>
          <cell r="D2090" t="str">
            <v>KHR</v>
          </cell>
          <cell r="E2090">
            <v>5.4516571302522223</v>
          </cell>
          <cell r="F2090">
            <v>3.5030833333333335</v>
          </cell>
          <cell r="G2090" t="str">
            <v>CAMBODIA</v>
          </cell>
          <cell r="H2090">
            <v>6</v>
          </cell>
        </row>
        <row r="2091">
          <cell r="B2091" t="str">
            <v>43069KRW</v>
          </cell>
          <cell r="C2091" t="str">
            <v>43069KOREA SOUTH(REPUBLIC OF KOREA)</v>
          </cell>
          <cell r="D2091" t="str">
            <v>KRW</v>
          </cell>
          <cell r="E2091">
            <v>4.2049847946151999</v>
          </cell>
          <cell r="F2091">
            <v>1.87775</v>
          </cell>
          <cell r="G2091" t="str">
            <v>KOREA SOUTH(REPUBLIC OF KOREA)</v>
          </cell>
          <cell r="H2091">
            <v>5</v>
          </cell>
        </row>
        <row r="2092">
          <cell r="B2092" t="str">
            <v>43069KWD</v>
          </cell>
          <cell r="C2092" t="str">
            <v>43069KUWAIT</v>
          </cell>
          <cell r="D2092" t="str">
            <v>KWD</v>
          </cell>
          <cell r="E2092">
            <v>4.9499999999999913</v>
          </cell>
          <cell r="F2092">
            <v>2.6833333333333336</v>
          </cell>
          <cell r="G2092" t="str">
            <v>KUWAIT</v>
          </cell>
          <cell r="H2092">
            <v>6</v>
          </cell>
        </row>
        <row r="2093">
          <cell r="B2093" t="str">
            <v>43069LKR</v>
          </cell>
          <cell r="C2093" t="str">
            <v>43069SRI LANKA</v>
          </cell>
          <cell r="D2093" t="str">
            <v>LKR</v>
          </cell>
          <cell r="E2093">
            <v>7.2555994027622175</v>
          </cell>
          <cell r="F2093">
            <v>5.1088333333333322</v>
          </cell>
          <cell r="G2093" t="str">
            <v>SRI LANKA</v>
          </cell>
          <cell r="H2093">
            <v>6</v>
          </cell>
        </row>
        <row r="2094">
          <cell r="B2094" t="str">
            <v>43069KZT</v>
          </cell>
          <cell r="C2094" t="str">
            <v>43069KAZAKHSTAN</v>
          </cell>
          <cell r="D2094" t="str">
            <v>KZT</v>
          </cell>
          <cell r="E2094">
            <v>7.2867465443970527</v>
          </cell>
          <cell r="F2094">
            <v>6.6065833333333339</v>
          </cell>
          <cell r="G2094" t="str">
            <v>KAZAKHSTAN</v>
          </cell>
          <cell r="H2094">
            <v>6</v>
          </cell>
        </row>
        <row r="2095">
          <cell r="B2095" t="str">
            <v>43069MAD</v>
          </cell>
          <cell r="C2095" t="str">
            <v>43069MOROCCO</v>
          </cell>
          <cell r="D2095" t="str">
            <v>MAD</v>
          </cell>
          <cell r="E2095">
            <v>4.1698742137199076</v>
          </cell>
          <cell r="F2095">
            <v>1.5416666666666667</v>
          </cell>
          <cell r="G2095" t="str">
            <v>MOROCCO</v>
          </cell>
          <cell r="H2095">
            <v>6</v>
          </cell>
        </row>
        <row r="2096">
          <cell r="B2096" t="str">
            <v>43069MXN</v>
          </cell>
          <cell r="C2096" t="str">
            <v>43069MEXICO</v>
          </cell>
          <cell r="D2096" t="str">
            <v>MXN</v>
          </cell>
          <cell r="E2096">
            <v>5.4273795970396979</v>
          </cell>
          <cell r="F2096">
            <v>3.9333333333333331</v>
          </cell>
          <cell r="G2096" t="str">
            <v>MEXICO</v>
          </cell>
          <cell r="H2096">
            <v>7</v>
          </cell>
        </row>
        <row r="2097">
          <cell r="B2097" t="str">
            <v>43069MYR</v>
          </cell>
          <cell r="C2097" t="str">
            <v>43069MALAYSIA</v>
          </cell>
          <cell r="D2097" t="str">
            <v>MYR</v>
          </cell>
          <cell r="E2097">
            <v>5.2291915941303149</v>
          </cell>
          <cell r="F2097">
            <v>2.972833333333333</v>
          </cell>
          <cell r="G2097" t="str">
            <v>MALAYSIA</v>
          </cell>
          <cell r="H2097">
            <v>5</v>
          </cell>
        </row>
        <row r="2098">
          <cell r="B2098" t="str">
            <v>43069NGN</v>
          </cell>
          <cell r="C2098" t="str">
            <v>43069NIGERIA</v>
          </cell>
          <cell r="D2098" t="str">
            <v>NGN</v>
          </cell>
          <cell r="E2098">
            <v>16.758675939255443</v>
          </cell>
          <cell r="F2098">
            <v>14.914833333333334</v>
          </cell>
          <cell r="G2098" t="str">
            <v>NIGERIA</v>
          </cell>
          <cell r="H2098">
            <v>7</v>
          </cell>
        </row>
        <row r="2099">
          <cell r="B2099" t="str">
            <v>43069NOK</v>
          </cell>
          <cell r="C2099" t="str">
            <v>43069NORWAY</v>
          </cell>
          <cell r="D2099" t="str">
            <v>NOK</v>
          </cell>
          <cell r="E2099">
            <v>4.5498239700960266</v>
          </cell>
          <cell r="F2099">
            <v>2.0083333333333333</v>
          </cell>
          <cell r="G2099" t="str">
            <v>NORWAY</v>
          </cell>
          <cell r="H2099">
            <v>4</v>
          </cell>
        </row>
        <row r="2100">
          <cell r="B2100" t="str">
            <v>43069NZD</v>
          </cell>
          <cell r="C2100" t="str">
            <v>43069NEW ZEALAND</v>
          </cell>
          <cell r="D2100" t="str">
            <v>NZD</v>
          </cell>
          <cell r="E2100">
            <v>4.2547979596879317</v>
          </cell>
          <cell r="F2100">
            <v>1.9866666666666668</v>
          </cell>
          <cell r="G2100" t="str">
            <v>NEW ZEALAND</v>
          </cell>
          <cell r="H2100">
            <v>4.0948121749866031</v>
          </cell>
        </row>
        <row r="2101">
          <cell r="B2101" t="str">
            <v>43069OMR</v>
          </cell>
          <cell r="C2101" t="str">
            <v>43069OMAN</v>
          </cell>
          <cell r="D2101" t="str">
            <v>OMR</v>
          </cell>
          <cell r="E2101">
            <v>5.5100531295285951</v>
          </cell>
          <cell r="F2101">
            <v>3.2</v>
          </cell>
          <cell r="G2101" t="str">
            <v>OMAN</v>
          </cell>
          <cell r="H2101">
            <v>6</v>
          </cell>
        </row>
        <row r="2102">
          <cell r="B2102" t="str">
            <v>43069PEN</v>
          </cell>
          <cell r="C2102" t="str">
            <v>43069PERU</v>
          </cell>
          <cell r="D2102" t="str">
            <v>PEN</v>
          </cell>
          <cell r="E2102">
            <v>4.5556765354246167</v>
          </cell>
          <cell r="F2102">
            <v>2.3660000000000001</v>
          </cell>
          <cell r="G2102" t="str">
            <v>PERU</v>
          </cell>
          <cell r="H2102">
            <v>5</v>
          </cell>
        </row>
        <row r="2103">
          <cell r="B2103" t="str">
            <v>43069PGK</v>
          </cell>
          <cell r="C2103" t="str">
            <v>43069PAPUA NEW GUINEA</v>
          </cell>
          <cell r="D2103" t="str">
            <v>PGK</v>
          </cell>
          <cell r="E2103">
            <v>7.3498100662196899</v>
          </cell>
          <cell r="F2103">
            <v>5.5208333333333339</v>
          </cell>
          <cell r="G2103" t="str">
            <v>PAPUA NEW GUINEA</v>
          </cell>
          <cell r="H2103">
            <v>6</v>
          </cell>
        </row>
        <row r="2104">
          <cell r="B2104" t="str">
            <v>43069PHP</v>
          </cell>
          <cell r="C2104" t="str">
            <v>43069PHILIPPINES</v>
          </cell>
          <cell r="D2104" t="str">
            <v>PHP</v>
          </cell>
          <cell r="E2104">
            <v>5.2533997755562147</v>
          </cell>
          <cell r="F2104">
            <v>3.0215833333333331</v>
          </cell>
          <cell r="G2104" t="str">
            <v>PHILIPPINES</v>
          </cell>
          <cell r="H2104">
            <v>5</v>
          </cell>
        </row>
        <row r="2105">
          <cell r="B2105" t="str">
            <v>43069PKR</v>
          </cell>
          <cell r="C2105" t="str">
            <v>43069PAKISTAN</v>
          </cell>
          <cell r="D2105" t="str">
            <v>PKR</v>
          </cell>
          <cell r="E2105">
            <v>7.2153771743839226</v>
          </cell>
          <cell r="F2105">
            <v>4.7704166666666667</v>
          </cell>
          <cell r="G2105" t="str">
            <v>PAKISTAN</v>
          </cell>
          <cell r="H2105">
            <v>6</v>
          </cell>
        </row>
        <row r="2106">
          <cell r="B2106" t="str">
            <v>43069PLN</v>
          </cell>
          <cell r="C2106" t="str">
            <v>43069POLAND</v>
          </cell>
          <cell r="D2106" t="str">
            <v>PLN</v>
          </cell>
          <cell r="E2106">
            <v>4.708754335161295</v>
          </cell>
          <cell r="F2106">
            <v>2.2398333333333329</v>
          </cell>
          <cell r="G2106" t="str">
            <v>POLAND</v>
          </cell>
          <cell r="H2106">
            <v>4.5</v>
          </cell>
        </row>
        <row r="2107">
          <cell r="B2107" t="str">
            <v>43069QAR</v>
          </cell>
          <cell r="C2107" t="str">
            <v>43069QATAR</v>
          </cell>
          <cell r="D2107" t="str">
            <v>QAR</v>
          </cell>
          <cell r="E2107">
            <v>4.9471905571079979</v>
          </cell>
          <cell r="F2107">
            <v>4.5145000000000008</v>
          </cell>
          <cell r="G2107" t="str">
            <v>QATAR</v>
          </cell>
          <cell r="H2107">
            <v>6</v>
          </cell>
        </row>
        <row r="2108">
          <cell r="B2108" t="str">
            <v>43069RON</v>
          </cell>
          <cell r="C2108" t="str">
            <v>43069ROMANIA</v>
          </cell>
          <cell r="D2108" t="str">
            <v>RON</v>
          </cell>
          <cell r="E2108">
            <v>5.1421361563781112</v>
          </cell>
          <cell r="F2108">
            <v>3.1276666666666664</v>
          </cell>
          <cell r="G2108" t="str">
            <v>ROMANIA</v>
          </cell>
          <cell r="H2108">
            <v>6</v>
          </cell>
        </row>
        <row r="2109">
          <cell r="B2109" t="str">
            <v>43069RUB</v>
          </cell>
          <cell r="C2109" t="str">
            <v>43069RUSSIAN FEDERATION</v>
          </cell>
          <cell r="D2109" t="str">
            <v>RUB</v>
          </cell>
          <cell r="E2109">
            <v>6.2321939037926413</v>
          </cell>
          <cell r="F2109">
            <v>3.9387500000000002</v>
          </cell>
          <cell r="G2109" t="str">
            <v>RUSSIAN FEDERATION</v>
          </cell>
          <cell r="H2109">
            <v>6</v>
          </cell>
        </row>
        <row r="2110">
          <cell r="B2110" t="str">
            <v>43069SAR</v>
          </cell>
          <cell r="C2110" t="str">
            <v>43069SAUDI ARABIA</v>
          </cell>
          <cell r="D2110" t="str">
            <v>SAR</v>
          </cell>
          <cell r="E2110">
            <v>4.8899190763358504</v>
          </cell>
          <cell r="F2110">
            <v>4.5346666666666673</v>
          </cell>
          <cell r="G2110" t="str">
            <v>SAUDI ARABIA</v>
          </cell>
          <cell r="H2110">
            <v>5</v>
          </cell>
        </row>
        <row r="2111">
          <cell r="B2111" t="str">
            <v>43069SEK</v>
          </cell>
          <cell r="C2111" t="str">
            <v>43069SWEDEN</v>
          </cell>
          <cell r="D2111" t="str">
            <v>SEK</v>
          </cell>
          <cell r="E2111">
            <v>4.0848580343068743</v>
          </cell>
          <cell r="F2111">
            <v>1.5765833333333332</v>
          </cell>
          <cell r="G2111" t="str">
            <v>SWEDEN</v>
          </cell>
          <cell r="H2111">
            <v>4</v>
          </cell>
        </row>
        <row r="2112">
          <cell r="B2112" t="str">
            <v>43069SGD</v>
          </cell>
          <cell r="C2112" t="str">
            <v>43069SINGAPORE</v>
          </cell>
          <cell r="D2112" t="str">
            <v>SGD</v>
          </cell>
          <cell r="E2112">
            <v>3.96810981279088</v>
          </cell>
          <cell r="F2112">
            <v>1.2604166666666665</v>
          </cell>
          <cell r="G2112" t="str">
            <v>SINGAPORE</v>
          </cell>
          <cell r="H2112">
            <v>4</v>
          </cell>
        </row>
        <row r="2113">
          <cell r="B2113" t="str">
            <v>43069TZS</v>
          </cell>
          <cell r="C2113" t="str">
            <v>43069TANZANIA, UNITED REPUBLIC OF</v>
          </cell>
          <cell r="D2113" t="str">
            <v>TZS</v>
          </cell>
          <cell r="E2113">
            <v>7.2500000000000044</v>
          </cell>
          <cell r="F2113">
            <v>5.0354999999999999</v>
          </cell>
          <cell r="G2113" t="str">
            <v>TANZANIA, UNITED REPUBLIC OF</v>
          </cell>
          <cell r="H2113">
            <v>6</v>
          </cell>
        </row>
        <row r="2114">
          <cell r="B2114" t="str">
            <v>43069THB</v>
          </cell>
          <cell r="C2114" t="str">
            <v>43069THAILAND</v>
          </cell>
          <cell r="D2114" t="str">
            <v>THB</v>
          </cell>
          <cell r="E2114">
            <v>4.1237536077790384</v>
          </cell>
          <cell r="F2114">
            <v>0.94366666666666676</v>
          </cell>
          <cell r="G2114" t="str">
            <v>THAILAND</v>
          </cell>
          <cell r="H2114">
            <v>5</v>
          </cell>
        </row>
        <row r="2115">
          <cell r="B2115" t="str">
            <v>43069TRY</v>
          </cell>
          <cell r="C2115" t="str">
            <v>43069TURKEY</v>
          </cell>
          <cell r="D2115" t="str">
            <v>TRY</v>
          </cell>
          <cell r="E2115">
            <v>10.453257956660792</v>
          </cell>
          <cell r="F2115">
            <v>9.4735833333333339</v>
          </cell>
          <cell r="G2115" t="str">
            <v>TURKEY</v>
          </cell>
          <cell r="H2115">
            <v>6</v>
          </cell>
        </row>
        <row r="2116">
          <cell r="B2116" t="str">
            <v>43069TWD</v>
          </cell>
          <cell r="C2116" t="str">
            <v>43069TAIWAN</v>
          </cell>
          <cell r="D2116" t="str">
            <v>TWD</v>
          </cell>
          <cell r="E2116">
            <v>3.9896932208044946</v>
          </cell>
          <cell r="F2116">
            <v>1.3666666666666665</v>
          </cell>
          <cell r="G2116" t="str">
            <v>TAIWAN</v>
          </cell>
          <cell r="H2116">
            <v>5</v>
          </cell>
        </row>
        <row r="2117">
          <cell r="B2117" t="str">
            <v>43069UAH</v>
          </cell>
          <cell r="C2117" t="str">
            <v>43069UKRAINE</v>
          </cell>
          <cell r="D2117" t="str">
            <v>UAH</v>
          </cell>
          <cell r="E2117">
            <v>9.0153082539057543</v>
          </cell>
          <cell r="F2117">
            <v>10.185666666666666</v>
          </cell>
          <cell r="G2117" t="str">
            <v>UKRAINE</v>
          </cell>
          <cell r="H2117">
            <v>6</v>
          </cell>
        </row>
        <row r="2118">
          <cell r="B2118" t="str">
            <v>43069USD</v>
          </cell>
          <cell r="C2118" t="str">
            <v>43069UNITED STATES</v>
          </cell>
          <cell r="D2118" t="str">
            <v>USD</v>
          </cell>
          <cell r="E2118">
            <v>4.5424196643396177</v>
          </cell>
          <cell r="F2118">
            <v>2.1243333333333334</v>
          </cell>
          <cell r="G2118" t="str">
            <v>UNITED STATES</v>
          </cell>
          <cell r="H2118">
            <v>4</v>
          </cell>
        </row>
        <row r="2119">
          <cell r="B2119" t="str">
            <v>43069VND</v>
          </cell>
          <cell r="C2119" t="str">
            <v>43069VIET NAM</v>
          </cell>
          <cell r="D2119" t="str">
            <v>VND</v>
          </cell>
          <cell r="E2119">
            <v>6.2500000000000036</v>
          </cell>
          <cell r="F2119">
            <v>4.0307499999999994</v>
          </cell>
          <cell r="G2119" t="str">
            <v>VIET NAM</v>
          </cell>
          <cell r="H2119">
            <v>6</v>
          </cell>
        </row>
        <row r="2120">
          <cell r="B2120" t="str">
            <v>43069XOF</v>
          </cell>
          <cell r="C2120" t="str">
            <v>43069MALI</v>
          </cell>
          <cell r="D2120" t="str">
            <v>XOF</v>
          </cell>
          <cell r="E2120">
            <v>4.0403572667203882</v>
          </cell>
          <cell r="F2120">
            <v>1.1318333333333335</v>
          </cell>
          <cell r="G2120" t="str">
            <v>MALI</v>
          </cell>
          <cell r="H2120">
            <v>6</v>
          </cell>
        </row>
        <row r="2121">
          <cell r="B2121" t="str">
            <v>43069ZAR</v>
          </cell>
          <cell r="C2121" t="str">
            <v>43069SOUTH AFRICA</v>
          </cell>
          <cell r="D2121" t="str">
            <v>ZAR</v>
          </cell>
          <cell r="E2121">
            <v>7.7151770191507465</v>
          </cell>
          <cell r="F2121">
            <v>5.3343333333333334</v>
          </cell>
          <cell r="G2121" t="str">
            <v>SOUTH AFRICA</v>
          </cell>
          <cell r="H2121">
            <v>5</v>
          </cell>
        </row>
        <row r="2122">
          <cell r="B2122" t="str">
            <v>43069ZMW</v>
          </cell>
          <cell r="C2122" t="str">
            <v>43069ZAMBIA</v>
          </cell>
          <cell r="D2122" t="str">
            <v>ZMW</v>
          </cell>
          <cell r="E2122">
            <v>10.129732440972997</v>
          </cell>
          <cell r="G2122" t="str">
            <v>ZAMBIA</v>
          </cell>
          <cell r="H2122">
            <v>6</v>
          </cell>
        </row>
        <row r="2123">
          <cell r="B2123" t="str">
            <v>43069EUR1</v>
          </cell>
          <cell r="C2123" t="str">
            <v>43069BELGIUM</v>
          </cell>
          <cell r="D2123" t="str">
            <v>EUR1</v>
          </cell>
          <cell r="E2123">
            <v>3.9094329204121516</v>
          </cell>
          <cell r="G2123" t="str">
            <v>BELGIUM</v>
          </cell>
          <cell r="H2123">
            <v>4</v>
          </cell>
        </row>
        <row r="2124">
          <cell r="B2124" t="str">
            <v>43069EUR2</v>
          </cell>
          <cell r="C2124" t="str">
            <v>43069CYPRUS</v>
          </cell>
          <cell r="D2124" t="str">
            <v>EUR2</v>
          </cell>
          <cell r="E2124">
            <v>3.9094329204121516</v>
          </cell>
          <cell r="G2124" t="str">
            <v>CYPRUS</v>
          </cell>
          <cell r="H2124">
            <v>5</v>
          </cell>
        </row>
        <row r="2125">
          <cell r="B2125" t="str">
            <v>43069EUR3</v>
          </cell>
          <cell r="C2125" t="str">
            <v>43069ESTONIA</v>
          </cell>
          <cell r="D2125" t="str">
            <v>EUR3</v>
          </cell>
          <cell r="E2125">
            <v>3.9094329204121516</v>
          </cell>
          <cell r="G2125" t="str">
            <v>ESTONIA</v>
          </cell>
          <cell r="H2125">
            <v>6</v>
          </cell>
        </row>
        <row r="2126">
          <cell r="B2126" t="str">
            <v>43069EUR4</v>
          </cell>
          <cell r="C2126" t="str">
            <v>43069FINLAND</v>
          </cell>
          <cell r="D2126" t="str">
            <v>EUR4</v>
          </cell>
          <cell r="E2126">
            <v>3.9094329204121516</v>
          </cell>
          <cell r="G2126" t="str">
            <v>FINLAND</v>
          </cell>
          <cell r="H2126">
            <v>4</v>
          </cell>
        </row>
        <row r="2127">
          <cell r="B2127" t="str">
            <v>43069EUR5</v>
          </cell>
          <cell r="C2127" t="str">
            <v>43069FRANCE</v>
          </cell>
          <cell r="D2127" t="str">
            <v>EUR5</v>
          </cell>
          <cell r="E2127">
            <v>3.9094329204121516</v>
          </cell>
          <cell r="G2127" t="str">
            <v>FRANCE</v>
          </cell>
          <cell r="H2127">
            <v>4</v>
          </cell>
        </row>
        <row r="2128">
          <cell r="B2128" t="str">
            <v>43069EUR6</v>
          </cell>
          <cell r="C2128" t="str">
            <v>43069GERMANY</v>
          </cell>
          <cell r="D2128" t="str">
            <v>EUR6</v>
          </cell>
          <cell r="E2128">
            <v>3.9094329204121516</v>
          </cell>
          <cell r="G2128" t="str">
            <v>GERMANY</v>
          </cell>
          <cell r="H2128">
            <v>4.3286697615078937</v>
          </cell>
        </row>
        <row r="2129">
          <cell r="B2129" t="str">
            <v>43069EUR7</v>
          </cell>
          <cell r="C2129" t="str">
            <v>43069GREECE</v>
          </cell>
          <cell r="D2129" t="str">
            <v>EUR7</v>
          </cell>
          <cell r="E2129">
            <v>3.9094329204121516</v>
          </cell>
          <cell r="G2129" t="str">
            <v>GREECE</v>
          </cell>
          <cell r="H2129">
            <v>7</v>
          </cell>
        </row>
        <row r="2130">
          <cell r="B2130" t="str">
            <v>43069EUR8</v>
          </cell>
          <cell r="C2130" t="str">
            <v>43069IRELAND</v>
          </cell>
          <cell r="D2130" t="str">
            <v>EUR8</v>
          </cell>
          <cell r="E2130">
            <v>3.9094329204121516</v>
          </cell>
          <cell r="G2130" t="str">
            <v>IRELAND</v>
          </cell>
          <cell r="H2130">
            <v>4</v>
          </cell>
        </row>
        <row r="2131">
          <cell r="B2131" t="str">
            <v>43069EUR9</v>
          </cell>
          <cell r="C2131" t="str">
            <v>43069ITALY</v>
          </cell>
          <cell r="D2131" t="str">
            <v>EUR9</v>
          </cell>
          <cell r="E2131">
            <v>3.9094329204121516</v>
          </cell>
          <cell r="G2131" t="str">
            <v>ITALY</v>
          </cell>
          <cell r="H2131">
            <v>4</v>
          </cell>
        </row>
        <row r="2132">
          <cell r="B2132" t="str">
            <v>43069EUR10</v>
          </cell>
          <cell r="C2132" t="str">
            <v>43069LATVIA</v>
          </cell>
          <cell r="D2132" t="str">
            <v>EUR10</v>
          </cell>
          <cell r="E2132">
            <v>3.9094329204121516</v>
          </cell>
          <cell r="G2132" t="str">
            <v>LATVIA</v>
          </cell>
          <cell r="H2132">
            <v>6</v>
          </cell>
        </row>
        <row r="2133">
          <cell r="B2133" t="str">
            <v>43069EUR11</v>
          </cell>
          <cell r="C2133" t="str">
            <v>43069LUXEMBOURG</v>
          </cell>
          <cell r="D2133" t="str">
            <v>EUR11</v>
          </cell>
          <cell r="E2133">
            <v>3.9094329204121516</v>
          </cell>
          <cell r="G2133" t="str">
            <v>LUXEMBOURG</v>
          </cell>
          <cell r="H2133">
            <v>4</v>
          </cell>
        </row>
        <row r="2134">
          <cell r="B2134" t="str">
            <v>43069EUR12</v>
          </cell>
          <cell r="C2134" t="str">
            <v>43069MALTA</v>
          </cell>
          <cell r="D2134" t="str">
            <v>EUR12</v>
          </cell>
          <cell r="E2134">
            <v>3.9094329204121516</v>
          </cell>
          <cell r="G2134" t="str">
            <v>MALTA</v>
          </cell>
          <cell r="H2134">
            <v>4</v>
          </cell>
        </row>
        <row r="2135">
          <cell r="B2135" t="str">
            <v>43069EUR13</v>
          </cell>
          <cell r="C2135" t="str">
            <v>43069MONTENEGRO</v>
          </cell>
          <cell r="D2135" t="str">
            <v>EUR13</v>
          </cell>
          <cell r="E2135">
            <v>3.9094329204121516</v>
          </cell>
          <cell r="G2135" t="str">
            <v>MONTENEGRO</v>
          </cell>
          <cell r="H2135">
            <v>6</v>
          </cell>
        </row>
        <row r="2136">
          <cell r="B2136" t="str">
            <v>43069EUR14</v>
          </cell>
          <cell r="C2136" t="str">
            <v>43069NETHERLANDS</v>
          </cell>
          <cell r="D2136" t="str">
            <v>EUR14</v>
          </cell>
          <cell r="E2136">
            <v>3.9094329204121516</v>
          </cell>
          <cell r="G2136" t="str">
            <v>NETHERLANDS</v>
          </cell>
          <cell r="H2136">
            <v>4</v>
          </cell>
        </row>
        <row r="2137">
          <cell r="B2137" t="str">
            <v>43069EUR15</v>
          </cell>
          <cell r="C2137" t="str">
            <v>43069PORTUGAL</v>
          </cell>
          <cell r="D2137" t="str">
            <v>EUR15</v>
          </cell>
          <cell r="E2137">
            <v>3.9094329204121516</v>
          </cell>
          <cell r="G2137" t="str">
            <v>PORTUGAL</v>
          </cell>
          <cell r="H2137">
            <v>4</v>
          </cell>
        </row>
        <row r="2138">
          <cell r="B2138" t="str">
            <v>43069EUR16</v>
          </cell>
          <cell r="C2138" t="str">
            <v>43069SLOVAKIA</v>
          </cell>
          <cell r="D2138" t="str">
            <v>EUR16</v>
          </cell>
          <cell r="E2138">
            <v>3.9094329204121516</v>
          </cell>
          <cell r="G2138" t="str">
            <v>SLOVAKIA</v>
          </cell>
          <cell r="H2138">
            <v>5</v>
          </cell>
        </row>
        <row r="2139">
          <cell r="B2139" t="str">
            <v>43069EUR17</v>
          </cell>
          <cell r="C2139" t="str">
            <v>43069SLOVENIA</v>
          </cell>
          <cell r="D2139" t="str">
            <v>EUR17</v>
          </cell>
          <cell r="E2139">
            <v>3.9094329204121516</v>
          </cell>
          <cell r="G2139" t="str">
            <v>SLOVENIA</v>
          </cell>
          <cell r="H2139">
            <v>6</v>
          </cell>
        </row>
        <row r="2140">
          <cell r="B2140" t="str">
            <v>43069EUR18</v>
          </cell>
          <cell r="C2140" t="str">
            <v>43069SPAIN</v>
          </cell>
          <cell r="D2140" t="str">
            <v>EUR18</v>
          </cell>
          <cell r="E2140">
            <v>3.9094329204121516</v>
          </cell>
          <cell r="G2140" t="str">
            <v>SPAIN</v>
          </cell>
          <cell r="H2140">
            <v>4</v>
          </cell>
        </row>
        <row r="2141">
          <cell r="B2141" t="str">
            <v>43069Eastern European Institutions</v>
          </cell>
          <cell r="C2141" t="str">
            <v>43069Eastern European Institutions</v>
          </cell>
          <cell r="D2141" t="str">
            <v>Eastern European Institutions</v>
          </cell>
          <cell r="E2141">
            <v>2.25</v>
          </cell>
          <cell r="G2141" t="str">
            <v>Eastern European Institutions</v>
          </cell>
          <cell r="H2141">
            <v>5</v>
          </cell>
        </row>
        <row r="2142">
          <cell r="B2142" t="str">
            <v>43100AED</v>
          </cell>
          <cell r="C2142" t="str">
            <v>43100U. A. E.</v>
          </cell>
          <cell r="D2142" t="str">
            <v>AED</v>
          </cell>
          <cell r="E2142">
            <v>4.6298826044210131</v>
          </cell>
          <cell r="F2142">
            <v>2.9359999999999999</v>
          </cell>
          <cell r="G2142" t="str">
            <v>U. A. E.</v>
          </cell>
          <cell r="H2142">
            <v>5</v>
          </cell>
        </row>
        <row r="2143">
          <cell r="B2143" t="str">
            <v>43100ARS</v>
          </cell>
          <cell r="C2143" t="str">
            <v>43100ARGENTINA</v>
          </cell>
          <cell r="D2143" t="str">
            <v>ARS</v>
          </cell>
          <cell r="E2143">
            <v>14.44874991177603</v>
          </cell>
          <cell r="F2143">
            <v>17.827000000000002</v>
          </cell>
          <cell r="G2143" t="str">
            <v>ARGENTINA</v>
          </cell>
          <cell r="H2143">
            <v>6</v>
          </cell>
        </row>
        <row r="2144">
          <cell r="B2144" t="str">
            <v>43100AUD</v>
          </cell>
          <cell r="C2144" t="str">
            <v>43100AUSTRALIA</v>
          </cell>
          <cell r="D2144" t="str">
            <v>AUD</v>
          </cell>
          <cell r="E2144">
            <v>4.6753160699245102</v>
          </cell>
          <cell r="F2144">
            <v>2.1709999999999998</v>
          </cell>
          <cell r="G2144" t="str">
            <v>AUSTRALIA</v>
          </cell>
          <cell r="H2144">
            <v>3.6742940647500246</v>
          </cell>
        </row>
        <row r="2145">
          <cell r="B2145" t="str">
            <v>43100BDT</v>
          </cell>
          <cell r="C2145" t="str">
            <v>43100BANGLADESH</v>
          </cell>
          <cell r="D2145" t="str">
            <v>BDT</v>
          </cell>
          <cell r="E2145">
            <v>7.8737705387797154</v>
          </cell>
          <cell r="F2145">
            <v>5.7530000000000001</v>
          </cell>
          <cell r="G2145" t="str">
            <v>BANGLADESH</v>
          </cell>
          <cell r="H2145">
            <v>6</v>
          </cell>
        </row>
        <row r="2146">
          <cell r="B2146" t="str">
            <v>43100BRL</v>
          </cell>
          <cell r="C2146" t="str">
            <v>43100BRAZIL</v>
          </cell>
          <cell r="D2146" t="str">
            <v>BRL</v>
          </cell>
          <cell r="E2146">
            <v>6.2877902337943583</v>
          </cell>
          <cell r="F2146">
            <v>4.04</v>
          </cell>
          <cell r="G2146" t="str">
            <v>BRAZIL</v>
          </cell>
          <cell r="H2146">
            <v>7</v>
          </cell>
        </row>
        <row r="2147">
          <cell r="B2147" t="str">
            <v>43100BWP</v>
          </cell>
          <cell r="C2147" t="str">
            <v>43100BOTSWANA</v>
          </cell>
          <cell r="D2147" t="str">
            <v>BWP</v>
          </cell>
          <cell r="E2147">
            <v>6.0999614689788242</v>
          </cell>
          <cell r="F2147">
            <v>3.7</v>
          </cell>
          <cell r="G2147" t="str">
            <v>BOTSWANA</v>
          </cell>
          <cell r="H2147">
            <v>6</v>
          </cell>
        </row>
        <row r="2148">
          <cell r="B2148" t="str">
            <v>43100CAD</v>
          </cell>
          <cell r="C2148" t="str">
            <v>43100CANADA</v>
          </cell>
          <cell r="D2148" t="str">
            <v>CAD</v>
          </cell>
          <cell r="E2148">
            <v>4.1871630208500523</v>
          </cell>
          <cell r="F2148">
            <v>1.788</v>
          </cell>
          <cell r="G2148" t="str">
            <v>CANADA</v>
          </cell>
          <cell r="H2148">
            <v>4</v>
          </cell>
        </row>
        <row r="2149">
          <cell r="B2149" t="str">
            <v>43100CHF</v>
          </cell>
          <cell r="C2149" t="str">
            <v>43100SWITZERLAND</v>
          </cell>
          <cell r="D2149" t="str">
            <v>CHF</v>
          </cell>
          <cell r="E2149">
            <v>3.1146767813813128</v>
          </cell>
          <cell r="F2149">
            <v>0.56599999999999995</v>
          </cell>
          <cell r="G2149" t="str">
            <v>SWITZERLAND</v>
          </cell>
          <cell r="H2149">
            <v>4</v>
          </cell>
        </row>
        <row r="2150">
          <cell r="B2150" t="str">
            <v>43100CLP</v>
          </cell>
          <cell r="C2150" t="str">
            <v>43100CHILE</v>
          </cell>
          <cell r="D2150" t="str">
            <v>CLP</v>
          </cell>
          <cell r="E2150">
            <v>5.1927363630763814</v>
          </cell>
          <cell r="F2150">
            <v>2.714</v>
          </cell>
          <cell r="G2150" t="str">
            <v>CHILE</v>
          </cell>
          <cell r="H2150">
            <v>5</v>
          </cell>
        </row>
        <row r="2151">
          <cell r="B2151" t="str">
            <v>43100CNY</v>
          </cell>
          <cell r="C2151" t="str">
            <v>43100CHINA</v>
          </cell>
          <cell r="D2151" t="str">
            <v>CNY</v>
          </cell>
          <cell r="E2151">
            <v>4.7899687789558367</v>
          </cell>
          <cell r="F2151">
            <v>2.4</v>
          </cell>
          <cell r="G2151" t="str">
            <v>CHINA</v>
          </cell>
          <cell r="H2151">
            <v>5</v>
          </cell>
        </row>
        <row r="2152">
          <cell r="B2152" t="str">
            <v>43100COP</v>
          </cell>
          <cell r="C2152" t="str">
            <v>43100COLOMBIA</v>
          </cell>
          <cell r="D2152" t="str">
            <v>COP</v>
          </cell>
          <cell r="E2152">
            <v>5.3085334347460913</v>
          </cell>
          <cell r="F2152">
            <v>3.2930000000000001</v>
          </cell>
          <cell r="G2152" t="str">
            <v>COLOMBIA</v>
          </cell>
          <cell r="H2152">
            <v>5</v>
          </cell>
        </row>
        <row r="2153">
          <cell r="B2153" t="str">
            <v>43100CZK</v>
          </cell>
          <cell r="C2153" t="str">
            <v>43100CZECH REPUBLIC</v>
          </cell>
          <cell r="D2153" t="str">
            <v>CZK</v>
          </cell>
          <cell r="E2153">
            <v>4.2099685904913677</v>
          </cell>
          <cell r="F2153">
            <v>1.8</v>
          </cell>
          <cell r="G2153" t="str">
            <v>CZECH REPUBLIC</v>
          </cell>
          <cell r="H2153">
            <v>5</v>
          </cell>
        </row>
        <row r="2154">
          <cell r="B2154" t="str">
            <v>43100DKK</v>
          </cell>
          <cell r="C2154" t="str">
            <v>43100DENMARK</v>
          </cell>
          <cell r="D2154" t="str">
            <v>DKK</v>
          </cell>
          <cell r="E2154">
            <v>4.0897324438707674</v>
          </cell>
          <cell r="F2154">
            <v>1.4</v>
          </cell>
          <cell r="G2154" t="str">
            <v>DENMARK</v>
          </cell>
          <cell r="H2154">
            <v>4</v>
          </cell>
        </row>
        <row r="2155">
          <cell r="B2155" t="str">
            <v>43100EGP</v>
          </cell>
          <cell r="C2155" t="str">
            <v>43100EGYPT</v>
          </cell>
          <cell r="D2155" t="str">
            <v>EGP</v>
          </cell>
          <cell r="E2155">
            <v>13.981775863756955</v>
          </cell>
          <cell r="F2155">
            <v>21.344000000000001</v>
          </cell>
          <cell r="G2155" t="str">
            <v>EGYPT</v>
          </cell>
          <cell r="H2155">
            <v>5</v>
          </cell>
        </row>
        <row r="2156">
          <cell r="B2156" t="str">
            <v>43100EUR</v>
          </cell>
          <cell r="C2156" t="str">
            <v>43100AUSTRIA</v>
          </cell>
          <cell r="D2156" t="str">
            <v>EUR</v>
          </cell>
          <cell r="E2156">
            <v>3.9094329204121516</v>
          </cell>
          <cell r="F2156">
            <v>1.831</v>
          </cell>
          <cell r="G2156" t="str">
            <v>AUSTRIA</v>
          </cell>
          <cell r="H2156">
            <v>4</v>
          </cell>
        </row>
        <row r="2157">
          <cell r="B2157" t="str">
            <v>43100GBP</v>
          </cell>
          <cell r="C2157" t="str">
            <v>43100UNITED KINGDOM</v>
          </cell>
          <cell r="D2157" t="str">
            <v>GBP</v>
          </cell>
          <cell r="E2157">
            <v>4.4473176346253842</v>
          </cell>
          <cell r="F2157">
            <v>2.6440000000000001</v>
          </cell>
          <cell r="G2157" t="str">
            <v>UNITED KINGDOM</v>
          </cell>
          <cell r="H2157">
            <v>4</v>
          </cell>
        </row>
        <row r="2158">
          <cell r="B2158" t="str">
            <v>43100GEL</v>
          </cell>
          <cell r="C2158" t="str">
            <v>43100GEORGIA</v>
          </cell>
          <cell r="D2158" t="str">
            <v>GEL</v>
          </cell>
          <cell r="E2158">
            <v>5.2879716218309261</v>
          </cell>
          <cell r="F2158">
            <v>2.9990000000000001</v>
          </cell>
          <cell r="G2158" t="str">
            <v>GEORGIA</v>
          </cell>
          <cell r="H2158">
            <v>6</v>
          </cell>
        </row>
        <row r="2159">
          <cell r="B2159" t="str">
            <v>43100HKD</v>
          </cell>
          <cell r="C2159" t="str">
            <v>43100HONG KONG</v>
          </cell>
          <cell r="D2159" t="str">
            <v>HKD</v>
          </cell>
          <cell r="E2159">
            <v>4.8496101346745348</v>
          </cell>
          <cell r="F2159">
            <v>2.2000000000000002</v>
          </cell>
          <cell r="G2159" t="str">
            <v>HONG KONG</v>
          </cell>
          <cell r="H2159">
            <v>4</v>
          </cell>
        </row>
        <row r="2160">
          <cell r="B2160" t="str">
            <v>43100GHS</v>
          </cell>
          <cell r="C2160" t="str">
            <v>43100GHANA</v>
          </cell>
          <cell r="D2160" t="str">
            <v>GHS</v>
          </cell>
          <cell r="E2160">
            <v>9.0436854529162751</v>
          </cell>
          <cell r="F2160">
            <v>9</v>
          </cell>
          <cell r="G2160" t="str">
            <v>GHANA</v>
          </cell>
          <cell r="H2160">
            <v>6</v>
          </cell>
        </row>
        <row r="2161">
          <cell r="B2161" t="str">
            <v>43100HRK</v>
          </cell>
          <cell r="C2161" t="str">
            <v>43100CROATIA</v>
          </cell>
          <cell r="D2161" t="str">
            <v>HRK</v>
          </cell>
          <cell r="E2161">
            <v>3.8658567810659497</v>
          </cell>
          <cell r="F2161">
            <v>1.169</v>
          </cell>
          <cell r="G2161" t="str">
            <v>CROATIA</v>
          </cell>
          <cell r="H2161">
            <v>6</v>
          </cell>
        </row>
        <row r="2162">
          <cell r="B2162" t="str">
            <v>43100HUF</v>
          </cell>
          <cell r="C2162" t="str">
            <v>43100HUNGARY</v>
          </cell>
          <cell r="D2162" t="str">
            <v>HUF</v>
          </cell>
          <cell r="E2162">
            <v>5.260959448265238</v>
          </cell>
          <cell r="F2162">
            <v>3.1920000000000002</v>
          </cell>
          <cell r="G2162" t="str">
            <v>HUNGARY</v>
          </cell>
          <cell r="H2162">
            <v>5</v>
          </cell>
        </row>
        <row r="2163">
          <cell r="B2163" t="str">
            <v>43100IDR</v>
          </cell>
          <cell r="C2163" t="str">
            <v>43100INDONESIA</v>
          </cell>
          <cell r="D2163" t="str">
            <v>IDR</v>
          </cell>
          <cell r="E2163">
            <v>5.9537088253216277</v>
          </cell>
          <cell r="F2163">
            <v>3.907</v>
          </cell>
          <cell r="G2163" t="str">
            <v>INDONESIA</v>
          </cell>
          <cell r="H2163">
            <v>5</v>
          </cell>
        </row>
        <row r="2164">
          <cell r="B2164" t="str">
            <v>43100ILS</v>
          </cell>
          <cell r="C2164" t="str">
            <v>43100ISRAEL</v>
          </cell>
          <cell r="D2164" t="str">
            <v>ILS</v>
          </cell>
          <cell r="E2164">
            <v>3.8072734370978392</v>
          </cell>
          <cell r="F2164">
            <v>0.53700000000000003</v>
          </cell>
          <cell r="G2164" t="str">
            <v>ISRAEL</v>
          </cell>
          <cell r="H2164">
            <v>4</v>
          </cell>
        </row>
        <row r="2165">
          <cell r="B2165" t="str">
            <v>43100INR</v>
          </cell>
          <cell r="C2165" t="str">
            <v>43100INDIA</v>
          </cell>
          <cell r="D2165" t="str">
            <v>INR</v>
          </cell>
          <cell r="E2165">
            <v>7.1603908047480216</v>
          </cell>
          <cell r="F2165">
            <v>4.8810000000000002</v>
          </cell>
          <cell r="G2165" t="str">
            <v>INDIA</v>
          </cell>
          <cell r="H2165">
            <v>5</v>
          </cell>
        </row>
        <row r="2166">
          <cell r="B2166" t="str">
            <v>43100IQD</v>
          </cell>
          <cell r="C2166" t="str">
            <v>43100IRAQ</v>
          </cell>
          <cell r="D2166" t="str">
            <v>IQD</v>
          </cell>
          <cell r="E2166">
            <v>4.2500000000000018</v>
          </cell>
          <cell r="F2166">
            <v>2</v>
          </cell>
          <cell r="G2166" t="str">
            <v>IRAQ</v>
          </cell>
          <cell r="H2166">
            <v>6</v>
          </cell>
        </row>
        <row r="2167">
          <cell r="B2167" t="str">
            <v>43100JPY</v>
          </cell>
          <cell r="C2167" t="str">
            <v>43100JAPAN</v>
          </cell>
          <cell r="D2167" t="str">
            <v>JPY</v>
          </cell>
          <cell r="E2167">
            <v>3.4912168110389921</v>
          </cell>
          <cell r="F2167">
            <v>0.54500000000000004</v>
          </cell>
          <cell r="G2167" t="str">
            <v>JAPAN</v>
          </cell>
          <cell r="H2167">
            <v>4</v>
          </cell>
        </row>
        <row r="2168">
          <cell r="B2168" t="str">
            <v>43100KES</v>
          </cell>
          <cell r="C2168" t="str">
            <v>43100KENYA</v>
          </cell>
          <cell r="D2168" t="str">
            <v>KES</v>
          </cell>
          <cell r="E2168">
            <v>7.2919739881882863</v>
          </cell>
          <cell r="F2168">
            <v>5.1890000000000001</v>
          </cell>
          <cell r="G2168" t="str">
            <v>KENYA</v>
          </cell>
          <cell r="H2168">
            <v>7.5</v>
          </cell>
        </row>
        <row r="2169">
          <cell r="B2169" t="str">
            <v>43100JOD</v>
          </cell>
          <cell r="C2169" t="str">
            <v>43100JORDAN</v>
          </cell>
          <cell r="D2169" t="str">
            <v>JOD</v>
          </cell>
          <cell r="E2169">
            <v>4.5363507664002247</v>
          </cell>
          <cell r="F2169">
            <v>1.456</v>
          </cell>
          <cell r="G2169" t="str">
            <v>JORDAN</v>
          </cell>
          <cell r="H2169">
            <v>6</v>
          </cell>
        </row>
        <row r="2170">
          <cell r="B2170" t="str">
            <v>43100KHR</v>
          </cell>
          <cell r="C2170" t="str">
            <v>43100CAMBODIA</v>
          </cell>
          <cell r="D2170" t="str">
            <v>KHR</v>
          </cell>
          <cell r="E2170">
            <v>5.4516571302522223</v>
          </cell>
          <cell r="F2170">
            <v>3.4860000000000002</v>
          </cell>
          <cell r="G2170" t="str">
            <v>CAMBODIA</v>
          </cell>
          <cell r="H2170">
            <v>6</v>
          </cell>
        </row>
        <row r="2171">
          <cell r="B2171" t="str">
            <v>43100KRW</v>
          </cell>
          <cell r="C2171" t="str">
            <v>43100KOREA SOUTH(REPUBLIC OF KOREA)</v>
          </cell>
          <cell r="D2171" t="str">
            <v>KRW</v>
          </cell>
          <cell r="E2171">
            <v>4.2049847946151999</v>
          </cell>
          <cell r="F2171">
            <v>1.875</v>
          </cell>
          <cell r="G2171" t="str">
            <v>KOREA SOUTH(REPUBLIC OF KOREA)</v>
          </cell>
          <cell r="H2171">
            <v>5</v>
          </cell>
        </row>
        <row r="2172">
          <cell r="B2172" t="str">
            <v>43100KWD</v>
          </cell>
          <cell r="C2172" t="str">
            <v>43100KUWAIT</v>
          </cell>
          <cell r="D2172" t="str">
            <v>KWD</v>
          </cell>
          <cell r="E2172">
            <v>4.9499999999999913</v>
          </cell>
          <cell r="F2172">
            <v>2.7</v>
          </cell>
          <cell r="G2172" t="str">
            <v>KUWAIT</v>
          </cell>
          <cell r="H2172">
            <v>6</v>
          </cell>
        </row>
        <row r="2173">
          <cell r="B2173" t="str">
            <v>43100LKR</v>
          </cell>
          <cell r="C2173" t="str">
            <v>43100SRI LANKA</v>
          </cell>
          <cell r="D2173" t="str">
            <v>LKR</v>
          </cell>
          <cell r="E2173">
            <v>7.2555994027622175</v>
          </cell>
          <cell r="F2173">
            <v>5.0279999999999996</v>
          </cell>
          <cell r="G2173" t="str">
            <v>SRI LANKA</v>
          </cell>
          <cell r="H2173">
            <v>6</v>
          </cell>
        </row>
        <row r="2174">
          <cell r="B2174" t="str">
            <v>43100KZT</v>
          </cell>
          <cell r="C2174" t="str">
            <v>43100KAZAKHSTAN</v>
          </cell>
          <cell r="D2174" t="str">
            <v>KZT</v>
          </cell>
          <cell r="E2174">
            <v>7.2867465443970527</v>
          </cell>
          <cell r="F2174">
            <v>6.5410000000000004</v>
          </cell>
          <cell r="G2174" t="str">
            <v>KAZAKHSTAN</v>
          </cell>
          <cell r="H2174">
            <v>6</v>
          </cell>
        </row>
        <row r="2175">
          <cell r="B2175" t="str">
            <v>43100MAD</v>
          </cell>
          <cell r="C2175" t="str">
            <v>43100MOROCCO</v>
          </cell>
          <cell r="D2175" t="str">
            <v>MAD</v>
          </cell>
          <cell r="E2175">
            <v>4.1698742137199076</v>
          </cell>
          <cell r="F2175">
            <v>1.6</v>
          </cell>
          <cell r="G2175" t="str">
            <v>MOROCCO</v>
          </cell>
          <cell r="H2175">
            <v>6</v>
          </cell>
        </row>
        <row r="2176">
          <cell r="B2176" t="str">
            <v>43100MXN</v>
          </cell>
          <cell r="C2176" t="str">
            <v>43100MEXICO</v>
          </cell>
          <cell r="D2176" t="str">
            <v>MXN</v>
          </cell>
          <cell r="E2176">
            <v>5.4273795970396979</v>
          </cell>
          <cell r="F2176">
            <v>3.7589999999999999</v>
          </cell>
          <cell r="G2176" t="str">
            <v>MEXICO</v>
          </cell>
          <cell r="H2176">
            <v>7</v>
          </cell>
        </row>
        <row r="2177">
          <cell r="B2177" t="str">
            <v>43100MYR</v>
          </cell>
          <cell r="C2177" t="str">
            <v>43100MALAYSIA</v>
          </cell>
          <cell r="D2177" t="str">
            <v>MYR</v>
          </cell>
          <cell r="E2177">
            <v>5.2291915941303149</v>
          </cell>
          <cell r="F2177">
            <v>2.8959999999999999</v>
          </cell>
          <cell r="G2177" t="str">
            <v>MALAYSIA</v>
          </cell>
          <cell r="H2177">
            <v>5</v>
          </cell>
        </row>
        <row r="2178">
          <cell r="B2178" t="str">
            <v>43100NGN</v>
          </cell>
          <cell r="C2178" t="str">
            <v>43100NIGERIA</v>
          </cell>
          <cell r="D2178" t="str">
            <v>NGN</v>
          </cell>
          <cell r="E2178">
            <v>16.758675939255443</v>
          </cell>
          <cell r="F2178">
            <v>14.788</v>
          </cell>
          <cell r="G2178" t="str">
            <v>NIGERIA</v>
          </cell>
          <cell r="H2178">
            <v>6</v>
          </cell>
        </row>
        <row r="2179">
          <cell r="B2179" t="str">
            <v>43100NOK</v>
          </cell>
          <cell r="C2179" t="str">
            <v>43100NORWAY</v>
          </cell>
          <cell r="D2179" t="str">
            <v>NOK</v>
          </cell>
          <cell r="E2179">
            <v>4.5498239700960266</v>
          </cell>
          <cell r="F2179">
            <v>2</v>
          </cell>
          <cell r="G2179" t="str">
            <v>NORWAY</v>
          </cell>
          <cell r="H2179">
            <v>4</v>
          </cell>
        </row>
        <row r="2180">
          <cell r="B2180" t="str">
            <v>43100NZD</v>
          </cell>
          <cell r="C2180" t="str">
            <v>43100NEW ZEALAND</v>
          </cell>
          <cell r="D2180" t="str">
            <v>NZD</v>
          </cell>
          <cell r="E2180">
            <v>4.2547979596879317</v>
          </cell>
          <cell r="F2180">
            <v>1.964</v>
          </cell>
          <cell r="G2180" t="str">
            <v>NEW ZEALAND</v>
          </cell>
          <cell r="H2180">
            <v>4.0948121749866031</v>
          </cell>
        </row>
        <row r="2181">
          <cell r="B2181" t="str">
            <v>43100OMR</v>
          </cell>
          <cell r="C2181" t="str">
            <v>43100OMAN</v>
          </cell>
          <cell r="D2181" t="str">
            <v>OMR</v>
          </cell>
          <cell r="E2181">
            <v>5.5100531295285951</v>
          </cell>
          <cell r="F2181">
            <v>3.2</v>
          </cell>
          <cell r="G2181" t="str">
            <v>OMAN</v>
          </cell>
          <cell r="H2181">
            <v>6</v>
          </cell>
        </row>
        <row r="2182">
          <cell r="B2182" t="str">
            <v>43100PEN</v>
          </cell>
          <cell r="C2182" t="str">
            <v>43100PERU</v>
          </cell>
          <cell r="D2182" t="str">
            <v>PEN</v>
          </cell>
          <cell r="E2182">
            <v>4.5556765354246167</v>
          </cell>
          <cell r="F2182">
            <v>2.294</v>
          </cell>
          <cell r="G2182" t="str">
            <v>PERU</v>
          </cell>
          <cell r="H2182">
            <v>5</v>
          </cell>
        </row>
        <row r="2183">
          <cell r="B2183" t="str">
            <v>43100PGK</v>
          </cell>
          <cell r="C2183" t="str">
            <v>43100PAPUA NEW GUINEA</v>
          </cell>
          <cell r="D2183" t="str">
            <v>PGK</v>
          </cell>
          <cell r="E2183">
            <v>7.3498100662196899</v>
          </cell>
          <cell r="F2183">
            <v>5.5</v>
          </cell>
          <cell r="G2183" t="str">
            <v>PAPUA NEW GUINEA</v>
          </cell>
          <cell r="H2183">
            <v>6</v>
          </cell>
        </row>
        <row r="2184">
          <cell r="B2184" t="str">
            <v>43100PHP</v>
          </cell>
          <cell r="C2184" t="str">
            <v>43100PHILIPPINES</v>
          </cell>
          <cell r="D2184" t="str">
            <v>PHP</v>
          </cell>
          <cell r="E2184">
            <v>5.2533997755562147</v>
          </cell>
          <cell r="F2184">
            <v>3.0169999999999999</v>
          </cell>
          <cell r="G2184" t="str">
            <v>PHILIPPINES</v>
          </cell>
          <cell r="H2184">
            <v>5</v>
          </cell>
        </row>
        <row r="2185">
          <cell r="B2185" t="str">
            <v>43100PKR</v>
          </cell>
          <cell r="C2185" t="str">
            <v>43100PAKISTAN</v>
          </cell>
          <cell r="D2185" t="str">
            <v>PKR</v>
          </cell>
          <cell r="E2185">
            <v>7.2153771743839226</v>
          </cell>
          <cell r="F2185">
            <v>4.827</v>
          </cell>
          <cell r="G2185" t="str">
            <v>PAKISTAN</v>
          </cell>
          <cell r="H2185">
            <v>6</v>
          </cell>
        </row>
        <row r="2186">
          <cell r="B2186" t="str">
            <v>43100PLN</v>
          </cell>
          <cell r="C2186" t="str">
            <v>43100POLAND</v>
          </cell>
          <cell r="D2186" t="str">
            <v>PLN</v>
          </cell>
          <cell r="E2186">
            <v>4.708754335161295</v>
          </cell>
          <cell r="F2186">
            <v>2.27</v>
          </cell>
          <cell r="G2186" t="str">
            <v>POLAND</v>
          </cell>
          <cell r="H2186">
            <v>4.5</v>
          </cell>
        </row>
        <row r="2187">
          <cell r="B2187" t="str">
            <v>43100QAR</v>
          </cell>
          <cell r="C2187" t="str">
            <v>43100QATAR</v>
          </cell>
          <cell r="D2187" t="str">
            <v>QAR</v>
          </cell>
          <cell r="E2187">
            <v>4.9471905571079979</v>
          </cell>
          <cell r="F2187">
            <v>4.8470000000000004</v>
          </cell>
          <cell r="G2187" t="str">
            <v>QATAR</v>
          </cell>
          <cell r="H2187">
            <v>6</v>
          </cell>
        </row>
        <row r="2188">
          <cell r="B2188" t="str">
            <v>43100RON</v>
          </cell>
          <cell r="C2188" t="str">
            <v>43100ROMANIA</v>
          </cell>
          <cell r="D2188" t="str">
            <v>RON</v>
          </cell>
          <cell r="E2188">
            <v>5.1421361563781112</v>
          </cell>
          <cell r="F2188">
            <v>3.3119999999999998</v>
          </cell>
          <cell r="G2188" t="str">
            <v>ROMANIA</v>
          </cell>
          <cell r="H2188">
            <v>6</v>
          </cell>
        </row>
        <row r="2189">
          <cell r="B2189" t="str">
            <v>43100RUB</v>
          </cell>
          <cell r="C2189" t="str">
            <v>43100RUSSIAN FEDERATION</v>
          </cell>
          <cell r="D2189" t="str">
            <v>RUB</v>
          </cell>
          <cell r="E2189">
            <v>6.2321939037926413</v>
          </cell>
          <cell r="F2189">
            <v>3.911</v>
          </cell>
          <cell r="G2189" t="str">
            <v>RUSSIAN FEDERATION</v>
          </cell>
          <cell r="H2189">
            <v>6</v>
          </cell>
        </row>
        <row r="2190">
          <cell r="B2190" t="str">
            <v>43100SAR</v>
          </cell>
          <cell r="C2190" t="str">
            <v>43100SAUDI ARABIA</v>
          </cell>
          <cell r="D2190" t="str">
            <v>SAR</v>
          </cell>
          <cell r="E2190">
            <v>4.8899190763358504</v>
          </cell>
          <cell r="F2190">
            <v>4.9610000000000003</v>
          </cell>
          <cell r="G2190" t="str">
            <v>SAUDI ARABIA</v>
          </cell>
          <cell r="H2190">
            <v>5</v>
          </cell>
        </row>
        <row r="2191">
          <cell r="B2191" t="str">
            <v>43100SEK</v>
          </cell>
          <cell r="C2191" t="str">
            <v>43100SWEDEN</v>
          </cell>
          <cell r="D2191" t="str">
            <v>SEK</v>
          </cell>
          <cell r="E2191">
            <v>4.0848580343068743</v>
          </cell>
          <cell r="F2191">
            <v>1.575</v>
          </cell>
          <cell r="G2191" t="str">
            <v>SWEDEN</v>
          </cell>
          <cell r="H2191">
            <v>4</v>
          </cell>
        </row>
        <row r="2192">
          <cell r="B2192" t="str">
            <v>43100SGD</v>
          </cell>
          <cell r="C2192" t="str">
            <v>43100SINGAPORE</v>
          </cell>
          <cell r="D2192" t="str">
            <v>SGD</v>
          </cell>
          <cell r="E2192">
            <v>3.96810981279088</v>
          </cell>
          <cell r="F2192">
            <v>1.292</v>
          </cell>
          <cell r="G2192" t="str">
            <v>SINGAPORE</v>
          </cell>
          <cell r="H2192">
            <v>4</v>
          </cell>
        </row>
        <row r="2193">
          <cell r="B2193" t="str">
            <v>43100TZS</v>
          </cell>
          <cell r="C2193" t="str">
            <v>43100TANZANIA, UNITED REPUBLIC OF</v>
          </cell>
          <cell r="D2193" t="str">
            <v>TZS</v>
          </cell>
          <cell r="E2193">
            <v>7.2500000000000044</v>
          </cell>
          <cell r="F2193">
            <v>5</v>
          </cell>
          <cell r="G2193" t="str">
            <v>TANZANIA, UNITED REPUBLIC OF</v>
          </cell>
          <cell r="H2193">
            <v>6</v>
          </cell>
        </row>
        <row r="2194">
          <cell r="B2194" t="str">
            <v>43100THB</v>
          </cell>
          <cell r="C2194" t="str">
            <v>43100THAILAND</v>
          </cell>
          <cell r="D2194" t="str">
            <v>THB</v>
          </cell>
          <cell r="E2194">
            <v>4.1237536077790384</v>
          </cell>
          <cell r="F2194">
            <v>0.97599999999999998</v>
          </cell>
          <cell r="G2194" t="str">
            <v>THAILAND</v>
          </cell>
          <cell r="H2194">
            <v>5</v>
          </cell>
        </row>
        <row r="2195">
          <cell r="B2195" t="str">
            <v>43100TRY</v>
          </cell>
          <cell r="C2195" t="str">
            <v>43100TURKEY</v>
          </cell>
          <cell r="D2195" t="str">
            <v>TRY</v>
          </cell>
          <cell r="E2195">
            <v>10.453257956660792</v>
          </cell>
          <cell r="F2195">
            <v>9.3480000000000008</v>
          </cell>
          <cell r="G2195" t="str">
            <v>TURKEY</v>
          </cell>
          <cell r="H2195">
            <v>6</v>
          </cell>
        </row>
        <row r="2196">
          <cell r="B2196" t="str">
            <v>43100TWD</v>
          </cell>
          <cell r="C2196" t="str">
            <v>43100TAIWAN</v>
          </cell>
          <cell r="D2196" t="str">
            <v>TWD</v>
          </cell>
          <cell r="E2196">
            <v>3.9896932208044946</v>
          </cell>
          <cell r="F2196">
            <v>1.4</v>
          </cell>
          <cell r="G2196" t="str">
            <v>TAIWAN</v>
          </cell>
          <cell r="H2196">
            <v>5</v>
          </cell>
        </row>
        <row r="2197">
          <cell r="B2197" t="str">
            <v>43100UAH</v>
          </cell>
          <cell r="C2197" t="str">
            <v>43100UKRAINE</v>
          </cell>
          <cell r="D2197" t="str">
            <v>UAH</v>
          </cell>
          <cell r="E2197">
            <v>9.0153082539057543</v>
          </cell>
          <cell r="F2197">
            <v>9.9510000000000005</v>
          </cell>
          <cell r="G2197" t="str">
            <v>UKRAINE</v>
          </cell>
          <cell r="H2197">
            <v>6</v>
          </cell>
        </row>
        <row r="2198">
          <cell r="B2198" t="str">
            <v>43100USD</v>
          </cell>
          <cell r="C2198" t="str">
            <v>43100UNITED STATES</v>
          </cell>
          <cell r="D2198" t="str">
            <v>USD</v>
          </cell>
          <cell r="E2198">
            <v>4.5424196643396177</v>
          </cell>
          <cell r="F2198">
            <v>2.1259999999999999</v>
          </cell>
          <cell r="G2198" t="str">
            <v>UNITED STATES</v>
          </cell>
          <cell r="H2198">
            <v>4</v>
          </cell>
        </row>
        <row r="2199">
          <cell r="B2199" t="str">
            <v>43100VND</v>
          </cell>
          <cell r="C2199" t="str">
            <v>43100VIET NAM</v>
          </cell>
          <cell r="D2199" t="str">
            <v>VND</v>
          </cell>
          <cell r="E2199">
            <v>6.2500000000000036</v>
          </cell>
          <cell r="F2199">
            <v>4</v>
          </cell>
          <cell r="G2199" t="str">
            <v>VIET NAM</v>
          </cell>
          <cell r="H2199">
            <v>6</v>
          </cell>
        </row>
        <row r="2200">
          <cell r="B2200" t="str">
            <v>43100XOF</v>
          </cell>
          <cell r="C2200" t="str">
            <v>43100MALI</v>
          </cell>
          <cell r="D2200" t="str">
            <v>XOF</v>
          </cell>
          <cell r="E2200">
            <v>4.0403572667203882</v>
          </cell>
          <cell r="F2200">
            <v>1.218</v>
          </cell>
          <cell r="G2200" t="str">
            <v>MALI</v>
          </cell>
          <cell r="H2200">
            <v>6</v>
          </cell>
        </row>
        <row r="2201">
          <cell r="B2201" t="str">
            <v>43100ZAR</v>
          </cell>
          <cell r="C2201" t="str">
            <v>43100SOUTH AFRICA</v>
          </cell>
          <cell r="D2201" t="str">
            <v>ZAR</v>
          </cell>
          <cell r="E2201">
            <v>7.7151770191507465</v>
          </cell>
          <cell r="F2201">
            <v>5.3259999999999996</v>
          </cell>
          <cell r="G2201" t="str">
            <v>SOUTH AFRICA</v>
          </cell>
          <cell r="H2201">
            <v>5</v>
          </cell>
        </row>
        <row r="2202">
          <cell r="B2202" t="str">
            <v>43100ZMW</v>
          </cell>
          <cell r="C2202" t="str">
            <v>43100ZAMBIA</v>
          </cell>
          <cell r="D2202" t="str">
            <v>ZMW</v>
          </cell>
          <cell r="E2202">
            <v>10.129732440972997</v>
          </cell>
          <cell r="F2202">
            <v>7.4</v>
          </cell>
          <cell r="G2202" t="str">
            <v>ZAMBIA</v>
          </cell>
          <cell r="H2202">
            <v>6</v>
          </cell>
        </row>
        <row r="2203">
          <cell r="B2203" t="str">
            <v>43100EUR1</v>
          </cell>
          <cell r="C2203" t="str">
            <v>43100BELGIUM</v>
          </cell>
          <cell r="D2203" t="str">
            <v>EUR1</v>
          </cell>
          <cell r="E2203">
            <v>3.9094329204121516</v>
          </cell>
          <cell r="G2203" t="str">
            <v>BELGIUM</v>
          </cell>
          <cell r="H2203">
            <v>4</v>
          </cell>
        </row>
        <row r="2204">
          <cell r="B2204" t="str">
            <v>43100EUR2</v>
          </cell>
          <cell r="C2204" t="str">
            <v>43100CYPRUS</v>
          </cell>
          <cell r="D2204" t="str">
            <v>EUR2</v>
          </cell>
          <cell r="E2204">
            <v>3.9094329204121516</v>
          </cell>
          <cell r="G2204" t="str">
            <v>CYPRUS</v>
          </cell>
          <cell r="H2204">
            <v>5</v>
          </cell>
        </row>
        <row r="2205">
          <cell r="B2205" t="str">
            <v>43100EUR3</v>
          </cell>
          <cell r="C2205" t="str">
            <v>43100ESTONIA</v>
          </cell>
          <cell r="D2205" t="str">
            <v>EUR3</v>
          </cell>
          <cell r="E2205">
            <v>3.9094329204121516</v>
          </cell>
          <cell r="G2205" t="str">
            <v>ESTONIA</v>
          </cell>
          <cell r="H2205">
            <v>6</v>
          </cell>
        </row>
        <row r="2206">
          <cell r="B2206" t="str">
            <v>43100EUR4</v>
          </cell>
          <cell r="C2206" t="str">
            <v>43100FINLAND</v>
          </cell>
          <cell r="D2206" t="str">
            <v>EUR4</v>
          </cell>
          <cell r="E2206">
            <v>3.9094329204121516</v>
          </cell>
          <cell r="G2206" t="str">
            <v>FINLAND</v>
          </cell>
          <cell r="H2206">
            <v>4</v>
          </cell>
        </row>
        <row r="2207">
          <cell r="B2207" t="str">
            <v>43100EUR5</v>
          </cell>
          <cell r="C2207" t="str">
            <v>43100FRANCE</v>
          </cell>
          <cell r="D2207" t="str">
            <v>EUR5</v>
          </cell>
          <cell r="E2207">
            <v>3.9094329204121516</v>
          </cell>
          <cell r="G2207" t="str">
            <v>FRANCE</v>
          </cell>
          <cell r="H2207">
            <v>4</v>
          </cell>
        </row>
        <row r="2208">
          <cell r="B2208" t="str">
            <v>43100EUR6</v>
          </cell>
          <cell r="C2208" t="str">
            <v>43100GERMANY</v>
          </cell>
          <cell r="D2208" t="str">
            <v>EUR6</v>
          </cell>
          <cell r="E2208">
            <v>3.9094329204121516</v>
          </cell>
          <cell r="G2208" t="str">
            <v>GERMANY</v>
          </cell>
          <cell r="H2208">
            <v>4.3286697615078937</v>
          </cell>
        </row>
        <row r="2209">
          <cell r="B2209" t="str">
            <v>43100EUR7</v>
          </cell>
          <cell r="C2209" t="str">
            <v>43100GREECE</v>
          </cell>
          <cell r="D2209" t="str">
            <v>EUR7</v>
          </cell>
          <cell r="E2209">
            <v>3.9094329204121516</v>
          </cell>
          <cell r="G2209" t="str">
            <v>GREECE</v>
          </cell>
          <cell r="H2209">
            <v>7</v>
          </cell>
        </row>
        <row r="2210">
          <cell r="B2210" t="str">
            <v>43100EUR8</v>
          </cell>
          <cell r="C2210" t="str">
            <v>43100IRELAND</v>
          </cell>
          <cell r="D2210" t="str">
            <v>EUR8</v>
          </cell>
          <cell r="E2210">
            <v>3.9094329204121516</v>
          </cell>
          <cell r="G2210" t="str">
            <v>IRELAND</v>
          </cell>
          <cell r="H2210">
            <v>4</v>
          </cell>
        </row>
        <row r="2211">
          <cell r="B2211" t="str">
            <v>43100EUR9</v>
          </cell>
          <cell r="C2211" t="str">
            <v>43100ITALY</v>
          </cell>
          <cell r="D2211" t="str">
            <v>EUR9</v>
          </cell>
          <cell r="E2211">
            <v>3.9094329204121516</v>
          </cell>
          <cell r="G2211" t="str">
            <v>ITALY</v>
          </cell>
          <cell r="H2211">
            <v>4</v>
          </cell>
        </row>
        <row r="2212">
          <cell r="B2212" t="str">
            <v>43100EUR10</v>
          </cell>
          <cell r="C2212" t="str">
            <v>43100LATVIA</v>
          </cell>
          <cell r="D2212" t="str">
            <v>EUR10</v>
          </cell>
          <cell r="E2212">
            <v>3.9094329204121516</v>
          </cell>
          <cell r="G2212" t="str">
            <v>LATVIA</v>
          </cell>
          <cell r="H2212">
            <v>6</v>
          </cell>
        </row>
        <row r="2213">
          <cell r="B2213" t="str">
            <v>43100EUR11</v>
          </cell>
          <cell r="C2213" t="str">
            <v>43100LUXEMBOURG</v>
          </cell>
          <cell r="D2213" t="str">
            <v>EUR11</v>
          </cell>
          <cell r="E2213">
            <v>3.9094329204121516</v>
          </cell>
          <cell r="G2213" t="str">
            <v>LUXEMBOURG</v>
          </cell>
          <cell r="H2213">
            <v>4</v>
          </cell>
        </row>
        <row r="2214">
          <cell r="B2214" t="str">
            <v>43100EUR12</v>
          </cell>
          <cell r="C2214" t="str">
            <v>43100MALTA</v>
          </cell>
          <cell r="D2214" t="str">
            <v>EUR12</v>
          </cell>
          <cell r="E2214">
            <v>3.9094329204121516</v>
          </cell>
          <cell r="G2214" t="str">
            <v>MALTA</v>
          </cell>
          <cell r="H2214">
            <v>4</v>
          </cell>
        </row>
        <row r="2215">
          <cell r="B2215" t="str">
            <v>43100EUR13</v>
          </cell>
          <cell r="C2215" t="str">
            <v>43100MONTENEGRO</v>
          </cell>
          <cell r="D2215" t="str">
            <v>EUR13</v>
          </cell>
          <cell r="E2215">
            <v>3.9094329204121516</v>
          </cell>
          <cell r="G2215" t="str">
            <v>MONTENEGRO</v>
          </cell>
          <cell r="H2215">
            <v>6</v>
          </cell>
        </row>
        <row r="2216">
          <cell r="B2216" t="str">
            <v>43100EUR14</v>
          </cell>
          <cell r="C2216" t="str">
            <v>43100NETHERLANDS</v>
          </cell>
          <cell r="D2216" t="str">
            <v>EUR14</v>
          </cell>
          <cell r="E2216">
            <v>3.9094329204121516</v>
          </cell>
          <cell r="G2216" t="str">
            <v>NETHERLANDS</v>
          </cell>
          <cell r="H2216">
            <v>4</v>
          </cell>
        </row>
        <row r="2217">
          <cell r="B2217" t="str">
            <v>43100EUR15</v>
          </cell>
          <cell r="C2217" t="str">
            <v>43100PORTUGAL</v>
          </cell>
          <cell r="D2217" t="str">
            <v>EUR15</v>
          </cell>
          <cell r="E2217">
            <v>3.9094329204121516</v>
          </cell>
          <cell r="G2217" t="str">
            <v>PORTUGAL</v>
          </cell>
          <cell r="H2217">
            <v>4</v>
          </cell>
        </row>
        <row r="2218">
          <cell r="B2218" t="str">
            <v>43100EUR16</v>
          </cell>
          <cell r="C2218" t="str">
            <v>43100SLOVAKIA</v>
          </cell>
          <cell r="D2218" t="str">
            <v>EUR16</v>
          </cell>
          <cell r="E2218">
            <v>3.9094329204121516</v>
          </cell>
          <cell r="G2218" t="str">
            <v>SLOVAKIA</v>
          </cell>
          <cell r="H2218">
            <v>5</v>
          </cell>
        </row>
        <row r="2219">
          <cell r="B2219" t="str">
            <v>43100EUR17</v>
          </cell>
          <cell r="C2219" t="str">
            <v>43100SLOVENIA</v>
          </cell>
          <cell r="D2219" t="str">
            <v>EUR17</v>
          </cell>
          <cell r="E2219">
            <v>3.9094329204121516</v>
          </cell>
          <cell r="G2219" t="str">
            <v>SLOVENIA</v>
          </cell>
          <cell r="H2219">
            <v>6</v>
          </cell>
        </row>
        <row r="2220">
          <cell r="B2220" t="str">
            <v>43100EUR18</v>
          </cell>
          <cell r="C2220" t="str">
            <v>43100SPAIN</v>
          </cell>
          <cell r="D2220" t="str">
            <v>EUR18</v>
          </cell>
          <cell r="E2220">
            <v>3.9094329204121516</v>
          </cell>
          <cell r="G2220" t="str">
            <v>SPAIN</v>
          </cell>
          <cell r="H2220">
            <v>4</v>
          </cell>
        </row>
        <row r="2221">
          <cell r="B2221" t="str">
            <v>43100Eastern European Institutions</v>
          </cell>
          <cell r="C2221" t="str">
            <v>43100Eastern European Institutions</v>
          </cell>
          <cell r="D2221" t="str">
            <v>Eastern European Institutions</v>
          </cell>
          <cell r="E2221">
            <v>2.25</v>
          </cell>
          <cell r="G2221" t="str">
            <v>Eastern European Institutions</v>
          </cell>
          <cell r="H2221">
            <v>5</v>
          </cell>
        </row>
        <row r="2222">
          <cell r="B2222" t="str">
            <v>43131AED</v>
          </cell>
          <cell r="C2222" t="str">
            <v>43131U. A. E.</v>
          </cell>
          <cell r="D2222" t="str">
            <v>AED</v>
          </cell>
          <cell r="E2222">
            <v>4.6298826044210131</v>
          </cell>
          <cell r="F2222">
            <v>2.9359999999999999</v>
          </cell>
          <cell r="G2222" t="str">
            <v>U. A. E.</v>
          </cell>
          <cell r="H2222">
            <v>5</v>
          </cell>
        </row>
        <row r="2223">
          <cell r="B2223" t="str">
            <v>43131ARS</v>
          </cell>
          <cell r="C2223" t="str">
            <v>43131ARGENTINA</v>
          </cell>
          <cell r="D2223" t="str">
            <v>ARS</v>
          </cell>
          <cell r="E2223">
            <v>14.44874991177603</v>
          </cell>
          <cell r="F2223">
            <v>17.827000000000002</v>
          </cell>
          <cell r="G2223" t="str">
            <v>ARGENTINA</v>
          </cell>
          <cell r="H2223">
            <v>6</v>
          </cell>
        </row>
        <row r="2224">
          <cell r="B2224" t="str">
            <v>43131AUD</v>
          </cell>
          <cell r="C2224" t="str">
            <v>43131AUSTRALIA</v>
          </cell>
          <cell r="D2224" t="str">
            <v>AUD</v>
          </cell>
          <cell r="E2224">
            <v>4.6753160699245102</v>
          </cell>
          <cell r="F2224">
            <v>2.1709999999999998</v>
          </cell>
          <cell r="G2224" t="str">
            <v>AUSTRALIA</v>
          </cell>
          <cell r="H2224">
            <v>3.6742940647500246</v>
          </cell>
        </row>
        <row r="2225">
          <cell r="B2225" t="str">
            <v>43131BDT</v>
          </cell>
          <cell r="C2225" t="str">
            <v>43131BANGLADESH</v>
          </cell>
          <cell r="D2225" t="str">
            <v>BDT</v>
          </cell>
          <cell r="E2225">
            <v>7.8737705387797154</v>
          </cell>
          <cell r="F2225">
            <v>5.7530000000000001</v>
          </cell>
          <cell r="G2225" t="str">
            <v>BANGLADESH</v>
          </cell>
          <cell r="H2225">
            <v>6</v>
          </cell>
        </row>
        <row r="2226">
          <cell r="B2226" t="str">
            <v>43131BRL</v>
          </cell>
          <cell r="C2226" t="str">
            <v>43131BRAZIL</v>
          </cell>
          <cell r="D2226" t="str">
            <v>BRL</v>
          </cell>
          <cell r="E2226">
            <v>6.2877902337943583</v>
          </cell>
          <cell r="F2226">
            <v>4.04</v>
          </cell>
          <cell r="G2226" t="str">
            <v>BRAZIL</v>
          </cell>
          <cell r="H2226">
            <v>7</v>
          </cell>
        </row>
        <row r="2227">
          <cell r="B2227" t="str">
            <v>43131BWP</v>
          </cell>
          <cell r="C2227" t="str">
            <v>43131BOTSWANA</v>
          </cell>
          <cell r="D2227" t="str">
            <v>BWP</v>
          </cell>
          <cell r="E2227">
            <v>6.0999614689788242</v>
          </cell>
          <cell r="F2227">
            <v>3.7</v>
          </cell>
          <cell r="G2227" t="str">
            <v>BOTSWANA</v>
          </cell>
          <cell r="H2227">
            <v>6</v>
          </cell>
        </row>
        <row r="2228">
          <cell r="B2228" t="str">
            <v>43131CAD</v>
          </cell>
          <cell r="C2228" t="str">
            <v>43131CANADA</v>
          </cell>
          <cell r="D2228" t="str">
            <v>CAD</v>
          </cell>
          <cell r="E2228">
            <v>4.1871630208500523</v>
          </cell>
          <cell r="F2228">
            <v>1.788</v>
          </cell>
          <cell r="G2228" t="str">
            <v>CANADA</v>
          </cell>
          <cell r="H2228">
            <v>4</v>
          </cell>
        </row>
        <row r="2229">
          <cell r="B2229" t="str">
            <v>43131CHF</v>
          </cell>
          <cell r="C2229" t="str">
            <v>43131SWITZERLAND</v>
          </cell>
          <cell r="D2229" t="str">
            <v>CHF</v>
          </cell>
          <cell r="E2229">
            <v>3.1146767813813128</v>
          </cell>
          <cell r="F2229">
            <v>0.56599999999999995</v>
          </cell>
          <cell r="G2229" t="str">
            <v>SWITZERLAND</v>
          </cell>
          <cell r="H2229">
            <v>4</v>
          </cell>
        </row>
        <row r="2230">
          <cell r="B2230" t="str">
            <v>43131CLP</v>
          </cell>
          <cell r="C2230" t="str">
            <v>43131CHILE</v>
          </cell>
          <cell r="D2230" t="str">
            <v>CLP</v>
          </cell>
          <cell r="E2230">
            <v>5.1927363630763814</v>
          </cell>
          <cell r="F2230">
            <v>2.714</v>
          </cell>
          <cell r="G2230" t="str">
            <v>CHILE</v>
          </cell>
          <cell r="H2230">
            <v>5</v>
          </cell>
        </row>
        <row r="2231">
          <cell r="B2231" t="str">
            <v>43131CNY</v>
          </cell>
          <cell r="C2231" t="str">
            <v>43131CHINA</v>
          </cell>
          <cell r="D2231" t="str">
            <v>CNY</v>
          </cell>
          <cell r="E2231">
            <v>4.7899687789558367</v>
          </cell>
          <cell r="F2231">
            <v>2.4</v>
          </cell>
          <cell r="G2231" t="str">
            <v>CHINA</v>
          </cell>
          <cell r="H2231">
            <v>5</v>
          </cell>
        </row>
        <row r="2232">
          <cell r="B2232" t="str">
            <v>43131COP</v>
          </cell>
          <cell r="C2232" t="str">
            <v>43131COLOMBIA</v>
          </cell>
          <cell r="D2232" t="str">
            <v>COP</v>
          </cell>
          <cell r="E2232">
            <v>5.3085334347460913</v>
          </cell>
          <cell r="F2232">
            <v>3.2930000000000001</v>
          </cell>
          <cell r="G2232" t="str">
            <v>COLOMBIA</v>
          </cell>
          <cell r="H2232">
            <v>5</v>
          </cell>
        </row>
        <row r="2233">
          <cell r="B2233" t="str">
            <v>43131CZK</v>
          </cell>
          <cell r="C2233" t="str">
            <v>43131CZECH REPUBLIC</v>
          </cell>
          <cell r="D2233" t="str">
            <v>CZK</v>
          </cell>
          <cell r="E2233">
            <v>4.2099685904913677</v>
          </cell>
          <cell r="F2233">
            <v>1.8</v>
          </cell>
          <cell r="G2233" t="str">
            <v>CZECH REPUBLIC</v>
          </cell>
          <cell r="H2233">
            <v>5</v>
          </cell>
        </row>
        <row r="2234">
          <cell r="B2234" t="str">
            <v>43131DKK</v>
          </cell>
          <cell r="C2234" t="str">
            <v>43131DENMARK</v>
          </cell>
          <cell r="D2234" t="str">
            <v>DKK</v>
          </cell>
          <cell r="E2234">
            <v>4.0897324438707674</v>
          </cell>
          <cell r="F2234">
            <v>1.4</v>
          </cell>
          <cell r="G2234" t="str">
            <v>DENMARK</v>
          </cell>
          <cell r="H2234">
            <v>4</v>
          </cell>
        </row>
        <row r="2235">
          <cell r="B2235" t="str">
            <v>43131EGP</v>
          </cell>
          <cell r="C2235" t="str">
            <v>43131EGYPT</v>
          </cell>
          <cell r="D2235" t="str">
            <v>EGP</v>
          </cell>
          <cell r="E2235">
            <v>13.981775863756955</v>
          </cell>
          <cell r="F2235">
            <v>21.344000000000001</v>
          </cell>
          <cell r="G2235" t="str">
            <v>EGYPT</v>
          </cell>
          <cell r="H2235">
            <v>5</v>
          </cell>
        </row>
        <row r="2236">
          <cell r="B2236" t="str">
            <v>43131EUR</v>
          </cell>
          <cell r="C2236" t="str">
            <v>43131AUSTRIA</v>
          </cell>
          <cell r="D2236" t="str">
            <v>EUR</v>
          </cell>
          <cell r="E2236">
            <v>3.9094329204121516</v>
          </cell>
          <cell r="F2236">
            <v>1.831</v>
          </cell>
          <cell r="G2236" t="str">
            <v>AUSTRIA</v>
          </cell>
          <cell r="H2236">
            <v>4</v>
          </cell>
        </row>
        <row r="2237">
          <cell r="B2237" t="str">
            <v>43131GBP</v>
          </cell>
          <cell r="C2237" t="str">
            <v>43131UNITED KINGDOM</v>
          </cell>
          <cell r="D2237" t="str">
            <v>GBP</v>
          </cell>
          <cell r="E2237">
            <v>4.4473176346253842</v>
          </cell>
          <cell r="F2237">
            <v>2.6440000000000001</v>
          </cell>
          <cell r="G2237" t="str">
            <v>UNITED KINGDOM</v>
          </cell>
          <cell r="H2237">
            <v>4</v>
          </cell>
        </row>
        <row r="2238">
          <cell r="B2238" t="str">
            <v>43131GEL</v>
          </cell>
          <cell r="C2238" t="str">
            <v>43131GEORGIA</v>
          </cell>
          <cell r="D2238" t="str">
            <v>GEL</v>
          </cell>
          <cell r="E2238">
            <v>5.2879716218309261</v>
          </cell>
          <cell r="F2238">
            <v>2.9990000000000001</v>
          </cell>
          <cell r="G2238" t="str">
            <v>GEORGIA</v>
          </cell>
          <cell r="H2238">
            <v>6</v>
          </cell>
        </row>
        <row r="2239">
          <cell r="B2239" t="str">
            <v>43131HKD</v>
          </cell>
          <cell r="C2239" t="str">
            <v>43131HONG KONG</v>
          </cell>
          <cell r="D2239" t="str">
            <v>HKD</v>
          </cell>
          <cell r="E2239">
            <v>4.8496101346745348</v>
          </cell>
          <cell r="F2239">
            <v>2.2000000000000002</v>
          </cell>
          <cell r="G2239" t="str">
            <v>HONG KONG</v>
          </cell>
          <cell r="H2239">
            <v>4</v>
          </cell>
        </row>
        <row r="2240">
          <cell r="B2240" t="str">
            <v>43131GHS</v>
          </cell>
          <cell r="C2240" t="str">
            <v>43131GHANA</v>
          </cell>
          <cell r="D2240" t="str">
            <v>GHS</v>
          </cell>
          <cell r="E2240">
            <v>9.0436854529162751</v>
          </cell>
          <cell r="F2240">
            <v>9</v>
          </cell>
          <cell r="G2240" t="str">
            <v>GHANA</v>
          </cell>
          <cell r="H2240">
            <v>6</v>
          </cell>
        </row>
        <row r="2241">
          <cell r="B2241" t="str">
            <v>43131HRK</v>
          </cell>
          <cell r="C2241" t="str">
            <v>43131CROATIA</v>
          </cell>
          <cell r="D2241" t="str">
            <v>HRK</v>
          </cell>
          <cell r="E2241">
            <v>3.8658567810659497</v>
          </cell>
          <cell r="F2241">
            <v>1.169</v>
          </cell>
          <cell r="G2241" t="str">
            <v>CROATIA</v>
          </cell>
          <cell r="H2241">
            <v>6</v>
          </cell>
        </row>
        <row r="2242">
          <cell r="B2242" t="str">
            <v>43131HUF</v>
          </cell>
          <cell r="C2242" t="str">
            <v>43131HUNGARY</v>
          </cell>
          <cell r="D2242" t="str">
            <v>HUF</v>
          </cell>
          <cell r="E2242">
            <v>5.260959448265238</v>
          </cell>
          <cell r="F2242">
            <v>3.1920000000000002</v>
          </cell>
          <cell r="G2242" t="str">
            <v>HUNGARY</v>
          </cell>
          <cell r="H2242">
            <v>5</v>
          </cell>
        </row>
        <row r="2243">
          <cell r="B2243" t="str">
            <v>43131IDR</v>
          </cell>
          <cell r="C2243" t="str">
            <v>43131INDONESIA</v>
          </cell>
          <cell r="D2243" t="str">
            <v>IDR</v>
          </cell>
          <cell r="E2243">
            <v>5.9537088253216277</v>
          </cell>
          <cell r="F2243">
            <v>3.907</v>
          </cell>
          <cell r="G2243" t="str">
            <v>INDONESIA</v>
          </cell>
          <cell r="H2243">
            <v>5</v>
          </cell>
        </row>
        <row r="2244">
          <cell r="B2244" t="str">
            <v>43131ILS</v>
          </cell>
          <cell r="C2244" t="str">
            <v>43131ISRAEL</v>
          </cell>
          <cell r="D2244" t="str">
            <v>ILS</v>
          </cell>
          <cell r="E2244">
            <v>3.8072734370978392</v>
          </cell>
          <cell r="F2244">
            <v>0.53700000000000003</v>
          </cell>
          <cell r="G2244" t="str">
            <v>ISRAEL</v>
          </cell>
          <cell r="H2244">
            <v>4</v>
          </cell>
        </row>
        <row r="2245">
          <cell r="B2245" t="str">
            <v>43131INR</v>
          </cell>
          <cell r="C2245" t="str">
            <v>43131INDIA</v>
          </cell>
          <cell r="D2245" t="str">
            <v>INR</v>
          </cell>
          <cell r="E2245">
            <v>7.1603908047480216</v>
          </cell>
          <cell r="F2245">
            <v>4.8810000000000002</v>
          </cell>
          <cell r="G2245" t="str">
            <v>INDIA</v>
          </cell>
          <cell r="H2245">
            <v>5</v>
          </cell>
        </row>
        <row r="2246">
          <cell r="B2246" t="str">
            <v>43131IQD</v>
          </cell>
          <cell r="C2246" t="str">
            <v>43131IRAQ</v>
          </cell>
          <cell r="D2246" t="str">
            <v>IQD</v>
          </cell>
          <cell r="E2246">
            <v>4.2500000000000018</v>
          </cell>
          <cell r="F2246">
            <v>2</v>
          </cell>
          <cell r="G2246" t="str">
            <v>IRAQ</v>
          </cell>
          <cell r="H2246">
            <v>6</v>
          </cell>
        </row>
        <row r="2247">
          <cell r="B2247" t="str">
            <v>43131JPY</v>
          </cell>
          <cell r="C2247" t="str">
            <v>43131JAPAN</v>
          </cell>
          <cell r="D2247" t="str">
            <v>JPY</v>
          </cell>
          <cell r="E2247">
            <v>3.4912168110389921</v>
          </cell>
          <cell r="F2247">
            <v>0.54500000000000004</v>
          </cell>
          <cell r="G2247" t="str">
            <v>JAPAN</v>
          </cell>
          <cell r="H2247">
            <v>4</v>
          </cell>
        </row>
        <row r="2248">
          <cell r="B2248" t="str">
            <v>43131KES</v>
          </cell>
          <cell r="C2248" t="str">
            <v>43131KENYA</v>
          </cell>
          <cell r="D2248" t="str">
            <v>KES</v>
          </cell>
          <cell r="E2248">
            <v>7.2919739881882863</v>
          </cell>
          <cell r="F2248">
            <v>5.1890000000000001</v>
          </cell>
          <cell r="G2248" t="str">
            <v>KENYA</v>
          </cell>
          <cell r="H2248">
            <v>7.5</v>
          </cell>
        </row>
        <row r="2249">
          <cell r="B2249" t="str">
            <v>43131JOD</v>
          </cell>
          <cell r="C2249" t="str">
            <v>43131JORDAN</v>
          </cell>
          <cell r="D2249" t="str">
            <v>JOD</v>
          </cell>
          <cell r="E2249">
            <v>4.5363507664002247</v>
          </cell>
          <cell r="F2249">
            <v>1.456</v>
          </cell>
          <cell r="G2249" t="str">
            <v>JORDAN</v>
          </cell>
          <cell r="H2249">
            <v>6</v>
          </cell>
        </row>
        <row r="2250">
          <cell r="B2250" t="str">
            <v>43131KHR</v>
          </cell>
          <cell r="C2250" t="str">
            <v>43131CAMBODIA</v>
          </cell>
          <cell r="D2250" t="str">
            <v>KHR</v>
          </cell>
          <cell r="E2250">
            <v>5.4516571302522223</v>
          </cell>
          <cell r="F2250">
            <v>3.4860000000000002</v>
          </cell>
          <cell r="G2250" t="str">
            <v>CAMBODIA</v>
          </cell>
          <cell r="H2250">
            <v>6</v>
          </cell>
        </row>
        <row r="2251">
          <cell r="B2251" t="str">
            <v>43131KRW</v>
          </cell>
          <cell r="C2251" t="str">
            <v>43131KOREA SOUTH(REPUBLIC OF KOREA)</v>
          </cell>
          <cell r="D2251" t="str">
            <v>KRW</v>
          </cell>
          <cell r="E2251">
            <v>4.2049847946151999</v>
          </cell>
          <cell r="F2251">
            <v>1.875</v>
          </cell>
          <cell r="G2251" t="str">
            <v>KOREA SOUTH(REPUBLIC OF KOREA)</v>
          </cell>
          <cell r="H2251">
            <v>5</v>
          </cell>
        </row>
        <row r="2252">
          <cell r="B2252" t="str">
            <v>43131KWD</v>
          </cell>
          <cell r="C2252" t="str">
            <v>43131KUWAIT</v>
          </cell>
          <cell r="D2252" t="str">
            <v>KWD</v>
          </cell>
          <cell r="E2252">
            <v>4.9499999999999913</v>
          </cell>
          <cell r="F2252">
            <v>2.7</v>
          </cell>
          <cell r="G2252" t="str">
            <v>KUWAIT</v>
          </cell>
          <cell r="H2252">
            <v>6</v>
          </cell>
        </row>
        <row r="2253">
          <cell r="B2253" t="str">
            <v>43131LKR</v>
          </cell>
          <cell r="C2253" t="str">
            <v>43131SRI LANKA</v>
          </cell>
          <cell r="D2253" t="str">
            <v>LKR</v>
          </cell>
          <cell r="E2253">
            <v>7.2555994027622175</v>
          </cell>
          <cell r="F2253">
            <v>5.0279999999999996</v>
          </cell>
          <cell r="G2253" t="str">
            <v>SRI LANKA</v>
          </cell>
          <cell r="H2253">
            <v>6</v>
          </cell>
        </row>
        <row r="2254">
          <cell r="B2254" t="str">
            <v>43131KZT</v>
          </cell>
          <cell r="C2254" t="str">
            <v>43131KAZAKHSTAN</v>
          </cell>
          <cell r="D2254" t="str">
            <v>KZT</v>
          </cell>
          <cell r="E2254">
            <v>7.2867465443970527</v>
          </cell>
          <cell r="F2254">
            <v>6.5410000000000004</v>
          </cell>
          <cell r="G2254" t="str">
            <v>KAZAKHSTAN</v>
          </cell>
          <cell r="H2254">
            <v>6</v>
          </cell>
        </row>
        <row r="2255">
          <cell r="B2255" t="str">
            <v>43131MAD</v>
          </cell>
          <cell r="C2255" t="str">
            <v>43131MOROCCO</v>
          </cell>
          <cell r="D2255" t="str">
            <v>MAD</v>
          </cell>
          <cell r="E2255">
            <v>4.1698742137199076</v>
          </cell>
          <cell r="F2255">
            <v>1.6</v>
          </cell>
          <cell r="G2255" t="str">
            <v>MOROCCO</v>
          </cell>
          <cell r="H2255">
            <v>6</v>
          </cell>
        </row>
        <row r="2256">
          <cell r="B2256" t="str">
            <v>43131MXN</v>
          </cell>
          <cell r="C2256" t="str">
            <v>43131MEXICO</v>
          </cell>
          <cell r="D2256" t="str">
            <v>MXN</v>
          </cell>
          <cell r="E2256">
            <v>5.4273795970396979</v>
          </cell>
          <cell r="F2256">
            <v>3.7589999999999999</v>
          </cell>
          <cell r="G2256" t="str">
            <v>MEXICO</v>
          </cell>
          <cell r="H2256">
            <v>7</v>
          </cell>
        </row>
        <row r="2257">
          <cell r="B2257" t="str">
            <v>43131MYR</v>
          </cell>
          <cell r="C2257" t="str">
            <v>43131MALAYSIA</v>
          </cell>
          <cell r="D2257" t="str">
            <v>MYR</v>
          </cell>
          <cell r="E2257">
            <v>5.2291915941303149</v>
          </cell>
          <cell r="F2257">
            <v>2.8959999999999999</v>
          </cell>
          <cell r="G2257" t="str">
            <v>MALAYSIA</v>
          </cell>
          <cell r="H2257">
            <v>5</v>
          </cell>
        </row>
        <row r="2258">
          <cell r="B2258" t="str">
            <v>43131NGN</v>
          </cell>
          <cell r="C2258" t="str">
            <v>43131NIGERIA</v>
          </cell>
          <cell r="D2258" t="str">
            <v>NGN</v>
          </cell>
          <cell r="E2258">
            <v>16.758675939255443</v>
          </cell>
          <cell r="F2258">
            <v>14.788</v>
          </cell>
          <cell r="G2258" t="str">
            <v>NIGERIA</v>
          </cell>
          <cell r="H2258">
            <v>6</v>
          </cell>
        </row>
        <row r="2259">
          <cell r="B2259" t="str">
            <v>43131NOK</v>
          </cell>
          <cell r="C2259" t="str">
            <v>43131NORWAY</v>
          </cell>
          <cell r="D2259" t="str">
            <v>NOK</v>
          </cell>
          <cell r="E2259">
            <v>4.5498239700960266</v>
          </cell>
          <cell r="F2259">
            <v>2</v>
          </cell>
          <cell r="G2259" t="str">
            <v>NORWAY</v>
          </cell>
          <cell r="H2259">
            <v>4</v>
          </cell>
        </row>
        <row r="2260">
          <cell r="B2260" t="str">
            <v>43131NZD</v>
          </cell>
          <cell r="C2260" t="str">
            <v>43131NEW ZEALAND</v>
          </cell>
          <cell r="D2260" t="str">
            <v>NZD</v>
          </cell>
          <cell r="E2260">
            <v>4.2547979596879317</v>
          </cell>
          <cell r="F2260">
            <v>1.964</v>
          </cell>
          <cell r="G2260" t="str">
            <v>NEW ZEALAND</v>
          </cell>
          <cell r="H2260">
            <v>4.0948121749866031</v>
          </cell>
        </row>
        <row r="2261">
          <cell r="B2261" t="str">
            <v>43131OMR</v>
          </cell>
          <cell r="C2261" t="str">
            <v>43131OMAN</v>
          </cell>
          <cell r="D2261" t="str">
            <v>OMR</v>
          </cell>
          <cell r="E2261">
            <v>5.5100531295285951</v>
          </cell>
          <cell r="F2261">
            <v>3.2</v>
          </cell>
          <cell r="G2261" t="str">
            <v>OMAN</v>
          </cell>
          <cell r="H2261">
            <v>6</v>
          </cell>
        </row>
        <row r="2262">
          <cell r="B2262" t="str">
            <v>43131PEN</v>
          </cell>
          <cell r="C2262" t="str">
            <v>43131PERU</v>
          </cell>
          <cell r="D2262" t="str">
            <v>PEN</v>
          </cell>
          <cell r="E2262">
            <v>4.5556765354246167</v>
          </cell>
          <cell r="F2262">
            <v>2.294</v>
          </cell>
          <cell r="G2262" t="str">
            <v>PERU</v>
          </cell>
          <cell r="H2262">
            <v>5</v>
          </cell>
        </row>
        <row r="2263">
          <cell r="B2263" t="str">
            <v>43131PGK</v>
          </cell>
          <cell r="C2263" t="str">
            <v>43131PAPUA NEW GUINEA</v>
          </cell>
          <cell r="D2263" t="str">
            <v>PGK</v>
          </cell>
          <cell r="E2263">
            <v>7.3498100662196899</v>
          </cell>
          <cell r="F2263">
            <v>5.5</v>
          </cell>
          <cell r="G2263" t="str">
            <v>PAPUA NEW GUINEA</v>
          </cell>
          <cell r="H2263">
            <v>6</v>
          </cell>
        </row>
        <row r="2264">
          <cell r="B2264" t="str">
            <v>43131PHP</v>
          </cell>
          <cell r="C2264" t="str">
            <v>43131PHILIPPINES</v>
          </cell>
          <cell r="D2264" t="str">
            <v>PHP</v>
          </cell>
          <cell r="E2264">
            <v>5.2533997755562147</v>
          </cell>
          <cell r="F2264">
            <v>3.0169999999999999</v>
          </cell>
          <cell r="G2264" t="str">
            <v>PHILIPPINES</v>
          </cell>
          <cell r="H2264">
            <v>5</v>
          </cell>
        </row>
        <row r="2265">
          <cell r="B2265" t="str">
            <v>43131PKR</v>
          </cell>
          <cell r="C2265" t="str">
            <v>43131PAKISTAN</v>
          </cell>
          <cell r="D2265" t="str">
            <v>PKR</v>
          </cell>
          <cell r="E2265">
            <v>7.2153771743839226</v>
          </cell>
          <cell r="F2265">
            <v>4.827</v>
          </cell>
          <cell r="G2265" t="str">
            <v>PAKISTAN</v>
          </cell>
          <cell r="H2265">
            <v>6</v>
          </cell>
        </row>
        <row r="2266">
          <cell r="B2266" t="str">
            <v>43131PLN</v>
          </cell>
          <cell r="C2266" t="str">
            <v>43131POLAND</v>
          </cell>
          <cell r="D2266" t="str">
            <v>PLN</v>
          </cell>
          <cell r="E2266">
            <v>4.708754335161295</v>
          </cell>
          <cell r="F2266">
            <v>2.27</v>
          </cell>
          <cell r="G2266" t="str">
            <v>POLAND</v>
          </cell>
          <cell r="H2266">
            <v>4.5</v>
          </cell>
        </row>
        <row r="2267">
          <cell r="B2267" t="str">
            <v>43131QAR</v>
          </cell>
          <cell r="C2267" t="str">
            <v>43131QATAR</v>
          </cell>
          <cell r="D2267" t="str">
            <v>QAR</v>
          </cell>
          <cell r="E2267">
            <v>4.9471905571079979</v>
          </cell>
          <cell r="F2267">
            <v>4.8470000000000004</v>
          </cell>
          <cell r="G2267" t="str">
            <v>QATAR</v>
          </cell>
          <cell r="H2267">
            <v>6</v>
          </cell>
        </row>
        <row r="2268">
          <cell r="B2268" t="str">
            <v>43131RON</v>
          </cell>
          <cell r="C2268" t="str">
            <v>43131ROMANIA</v>
          </cell>
          <cell r="D2268" t="str">
            <v>RON</v>
          </cell>
          <cell r="E2268">
            <v>5.1421361563781112</v>
          </cell>
          <cell r="F2268">
            <v>3.3119999999999998</v>
          </cell>
          <cell r="G2268" t="str">
            <v>ROMANIA</v>
          </cell>
          <cell r="H2268">
            <v>6</v>
          </cell>
        </row>
        <row r="2269">
          <cell r="B2269" t="str">
            <v>43131RUB</v>
          </cell>
          <cell r="C2269" t="str">
            <v>43131RUSSIAN FEDERATION</v>
          </cell>
          <cell r="D2269" t="str">
            <v>RUB</v>
          </cell>
          <cell r="E2269">
            <v>6.2321939037926413</v>
          </cell>
          <cell r="F2269">
            <v>3.911</v>
          </cell>
          <cell r="G2269" t="str">
            <v>RUSSIAN FEDERATION</v>
          </cell>
          <cell r="H2269">
            <v>6</v>
          </cell>
        </row>
        <row r="2270">
          <cell r="B2270" t="str">
            <v>43131SAR</v>
          </cell>
          <cell r="C2270" t="str">
            <v>43131SAUDI ARABIA</v>
          </cell>
          <cell r="D2270" t="str">
            <v>SAR</v>
          </cell>
          <cell r="E2270">
            <v>4.8899190763358504</v>
          </cell>
          <cell r="F2270">
            <v>4.9610000000000003</v>
          </cell>
          <cell r="G2270" t="str">
            <v>SAUDI ARABIA</v>
          </cell>
          <cell r="H2270">
            <v>5</v>
          </cell>
        </row>
        <row r="2271">
          <cell r="B2271" t="str">
            <v>43131SEK</v>
          </cell>
          <cell r="C2271" t="str">
            <v>43131SWEDEN</v>
          </cell>
          <cell r="D2271" t="str">
            <v>SEK</v>
          </cell>
          <cell r="E2271">
            <v>4.0848580343068743</v>
          </cell>
          <cell r="F2271">
            <v>1.575</v>
          </cell>
          <cell r="G2271" t="str">
            <v>SWEDEN</v>
          </cell>
          <cell r="H2271">
            <v>4</v>
          </cell>
        </row>
        <row r="2272">
          <cell r="B2272" t="str">
            <v>43131SGD</v>
          </cell>
          <cell r="C2272" t="str">
            <v>43131SINGAPORE</v>
          </cell>
          <cell r="D2272" t="str">
            <v>SGD</v>
          </cell>
          <cell r="E2272">
            <v>3.96810981279088</v>
          </cell>
          <cell r="F2272">
            <v>1.292</v>
          </cell>
          <cell r="G2272" t="str">
            <v>SINGAPORE</v>
          </cell>
          <cell r="H2272">
            <v>4</v>
          </cell>
        </row>
        <row r="2273">
          <cell r="B2273" t="str">
            <v>43131TZS</v>
          </cell>
          <cell r="C2273" t="str">
            <v>43131TANZANIA, UNITED REPUBLIC OF</v>
          </cell>
          <cell r="D2273" t="str">
            <v>TZS</v>
          </cell>
          <cell r="E2273">
            <v>7.2500000000000044</v>
          </cell>
          <cell r="F2273">
            <v>5</v>
          </cell>
          <cell r="G2273" t="str">
            <v>TANZANIA, UNITED REPUBLIC OF</v>
          </cell>
          <cell r="H2273">
            <v>6</v>
          </cell>
        </row>
        <row r="2274">
          <cell r="B2274" t="str">
            <v>43131THB</v>
          </cell>
          <cell r="C2274" t="str">
            <v>43131THAILAND</v>
          </cell>
          <cell r="D2274" t="str">
            <v>THB</v>
          </cell>
          <cell r="E2274">
            <v>4.1237536077790384</v>
          </cell>
          <cell r="F2274">
            <v>0.97599999999999998</v>
          </cell>
          <cell r="G2274" t="str">
            <v>THAILAND</v>
          </cell>
          <cell r="H2274">
            <v>5</v>
          </cell>
        </row>
        <row r="2275">
          <cell r="B2275" t="str">
            <v>43131TRY</v>
          </cell>
          <cell r="C2275" t="str">
            <v>43131TURKEY</v>
          </cell>
          <cell r="D2275" t="str">
            <v>TRY</v>
          </cell>
          <cell r="E2275">
            <v>10.453257956660792</v>
          </cell>
          <cell r="F2275">
            <v>9.3480000000000008</v>
          </cell>
          <cell r="G2275" t="str">
            <v>TURKEY</v>
          </cell>
          <cell r="H2275">
            <v>6</v>
          </cell>
        </row>
        <row r="2276">
          <cell r="B2276" t="str">
            <v>43131TWD</v>
          </cell>
          <cell r="C2276" t="str">
            <v>43131TAIWAN</v>
          </cell>
          <cell r="D2276" t="str">
            <v>TWD</v>
          </cell>
          <cell r="E2276">
            <v>3.9896932208044946</v>
          </cell>
          <cell r="F2276">
            <v>1.4</v>
          </cell>
          <cell r="G2276" t="str">
            <v>TAIWAN</v>
          </cell>
          <cell r="H2276">
            <v>5</v>
          </cell>
        </row>
        <row r="2277">
          <cell r="B2277" t="str">
            <v>43131UAH</v>
          </cell>
          <cell r="C2277" t="str">
            <v>43131UKRAINE</v>
          </cell>
          <cell r="D2277" t="str">
            <v>UAH</v>
          </cell>
          <cell r="E2277">
            <v>9.0153082539057543</v>
          </cell>
          <cell r="F2277">
            <v>9.9510000000000005</v>
          </cell>
          <cell r="G2277" t="str">
            <v>UKRAINE</v>
          </cell>
          <cell r="H2277">
            <v>6</v>
          </cell>
        </row>
        <row r="2278">
          <cell r="B2278" t="str">
            <v>43131USD</v>
          </cell>
          <cell r="C2278" t="str">
            <v>43131UNITED STATES</v>
          </cell>
          <cell r="D2278" t="str">
            <v>USD</v>
          </cell>
          <cell r="E2278">
            <v>4.5424196643396177</v>
          </cell>
          <cell r="F2278">
            <v>2.1259999999999999</v>
          </cell>
          <cell r="G2278" t="str">
            <v>UNITED STATES</v>
          </cell>
          <cell r="H2278">
            <v>4</v>
          </cell>
        </row>
        <row r="2279">
          <cell r="B2279" t="str">
            <v>43131VND</v>
          </cell>
          <cell r="C2279" t="str">
            <v>43131VIET NAM</v>
          </cell>
          <cell r="D2279" t="str">
            <v>VND</v>
          </cell>
          <cell r="E2279">
            <v>6.2500000000000036</v>
          </cell>
          <cell r="F2279">
            <v>4</v>
          </cell>
          <cell r="G2279" t="str">
            <v>VIET NAM</v>
          </cell>
          <cell r="H2279">
            <v>6</v>
          </cell>
        </row>
        <row r="2280">
          <cell r="B2280" t="str">
            <v>43131XOF</v>
          </cell>
          <cell r="C2280" t="str">
            <v>43131MALI</v>
          </cell>
          <cell r="D2280" t="str">
            <v>XOF</v>
          </cell>
          <cell r="E2280">
            <v>4.0403572667203882</v>
          </cell>
          <cell r="F2280">
            <v>1.218</v>
          </cell>
          <cell r="G2280" t="str">
            <v>MALI</v>
          </cell>
          <cell r="H2280">
            <v>6</v>
          </cell>
        </row>
        <row r="2281">
          <cell r="B2281" t="str">
            <v>43131ZAR</v>
          </cell>
          <cell r="C2281" t="str">
            <v>43131SOUTH AFRICA</v>
          </cell>
          <cell r="D2281" t="str">
            <v>ZAR</v>
          </cell>
          <cell r="E2281">
            <v>7.7151770191507465</v>
          </cell>
          <cell r="F2281">
            <v>5.3259999999999996</v>
          </cell>
          <cell r="G2281" t="str">
            <v>SOUTH AFRICA</v>
          </cell>
          <cell r="H2281">
            <v>5</v>
          </cell>
        </row>
        <row r="2282">
          <cell r="B2282" t="str">
            <v>43131ZMW</v>
          </cell>
          <cell r="C2282" t="str">
            <v>43131ZAMBIA</v>
          </cell>
          <cell r="D2282" t="str">
            <v>ZMW</v>
          </cell>
          <cell r="E2282">
            <v>10.129732440972997</v>
          </cell>
          <cell r="F2282">
            <v>7.4</v>
          </cell>
          <cell r="G2282" t="str">
            <v>ZAMBIA</v>
          </cell>
          <cell r="H2282">
            <v>6</v>
          </cell>
        </row>
        <row r="2283">
          <cell r="B2283" t="str">
            <v>43131EUR1</v>
          </cell>
          <cell r="C2283" t="str">
            <v>43131BELGIUM</v>
          </cell>
          <cell r="D2283" t="str">
            <v>EUR1</v>
          </cell>
          <cell r="E2283">
            <v>3.9094329204121516</v>
          </cell>
          <cell r="G2283" t="str">
            <v>BELGIUM</v>
          </cell>
          <cell r="H2283">
            <v>4</v>
          </cell>
        </row>
        <row r="2284">
          <cell r="B2284" t="str">
            <v>43131EUR2</v>
          </cell>
          <cell r="C2284" t="str">
            <v>43131CYPRUS</v>
          </cell>
          <cell r="D2284" t="str">
            <v>EUR2</v>
          </cell>
          <cell r="E2284">
            <v>3.9094329204121516</v>
          </cell>
          <cell r="G2284" t="str">
            <v>CYPRUS</v>
          </cell>
          <cell r="H2284">
            <v>5</v>
          </cell>
        </row>
        <row r="2285">
          <cell r="B2285" t="str">
            <v>43131EUR3</v>
          </cell>
          <cell r="C2285" t="str">
            <v>43131ESTONIA</v>
          </cell>
          <cell r="D2285" t="str">
            <v>EUR3</v>
          </cell>
          <cell r="E2285">
            <v>3.9094329204121516</v>
          </cell>
          <cell r="G2285" t="str">
            <v>ESTONIA</v>
          </cell>
          <cell r="H2285">
            <v>6</v>
          </cell>
        </row>
        <row r="2286">
          <cell r="B2286" t="str">
            <v>43131EUR4</v>
          </cell>
          <cell r="C2286" t="str">
            <v>43131FINLAND</v>
          </cell>
          <cell r="D2286" t="str">
            <v>EUR4</v>
          </cell>
          <cell r="E2286">
            <v>3.9094329204121516</v>
          </cell>
          <cell r="G2286" t="str">
            <v>FINLAND</v>
          </cell>
          <cell r="H2286">
            <v>4</v>
          </cell>
        </row>
        <row r="2287">
          <cell r="B2287" t="str">
            <v>43131EUR5</v>
          </cell>
          <cell r="C2287" t="str">
            <v>43131FRANCE</v>
          </cell>
          <cell r="D2287" t="str">
            <v>EUR5</v>
          </cell>
          <cell r="E2287">
            <v>3.9094329204121516</v>
          </cell>
          <cell r="G2287" t="str">
            <v>FRANCE</v>
          </cell>
          <cell r="H2287">
            <v>4</v>
          </cell>
        </row>
        <row r="2288">
          <cell r="B2288" t="str">
            <v>43131EUR6</v>
          </cell>
          <cell r="C2288" t="str">
            <v>43131GERMANY</v>
          </cell>
          <cell r="D2288" t="str">
            <v>EUR6</v>
          </cell>
          <cell r="E2288">
            <v>3.9094329204121516</v>
          </cell>
          <cell r="G2288" t="str">
            <v>GERMANY</v>
          </cell>
          <cell r="H2288">
            <v>4.3286697615078937</v>
          </cell>
        </row>
        <row r="2289">
          <cell r="B2289" t="str">
            <v>43131EUR7</v>
          </cell>
          <cell r="C2289" t="str">
            <v>43131GREECE</v>
          </cell>
          <cell r="D2289" t="str">
            <v>EUR7</v>
          </cell>
          <cell r="E2289">
            <v>3.9094329204121516</v>
          </cell>
          <cell r="G2289" t="str">
            <v>GREECE</v>
          </cell>
          <cell r="H2289">
            <v>7</v>
          </cell>
        </row>
        <row r="2290">
          <cell r="B2290" t="str">
            <v>43131EUR8</v>
          </cell>
          <cell r="C2290" t="str">
            <v>43131IRELAND</v>
          </cell>
          <cell r="D2290" t="str">
            <v>EUR8</v>
          </cell>
          <cell r="E2290">
            <v>3.9094329204121516</v>
          </cell>
          <cell r="G2290" t="str">
            <v>IRELAND</v>
          </cell>
          <cell r="H2290">
            <v>4</v>
          </cell>
        </row>
        <row r="2291">
          <cell r="B2291" t="str">
            <v>43131EUR9</v>
          </cell>
          <cell r="C2291" t="str">
            <v>43131ITALY</v>
          </cell>
          <cell r="D2291" t="str">
            <v>EUR9</v>
          </cell>
          <cell r="E2291">
            <v>3.9094329204121516</v>
          </cell>
          <cell r="G2291" t="str">
            <v>ITALY</v>
          </cell>
          <cell r="H2291">
            <v>4</v>
          </cell>
        </row>
        <row r="2292">
          <cell r="B2292" t="str">
            <v>43131EUR10</v>
          </cell>
          <cell r="C2292" t="str">
            <v>43131LATVIA</v>
          </cell>
          <cell r="D2292" t="str">
            <v>EUR10</v>
          </cell>
          <cell r="E2292">
            <v>3.9094329204121516</v>
          </cell>
          <cell r="G2292" t="str">
            <v>LATVIA</v>
          </cell>
          <cell r="H2292">
            <v>6</v>
          </cell>
        </row>
        <row r="2293">
          <cell r="B2293" t="str">
            <v>43131EUR11</v>
          </cell>
          <cell r="C2293" t="str">
            <v>43131LUXEMBOURG</v>
          </cell>
          <cell r="D2293" t="str">
            <v>EUR11</v>
          </cell>
          <cell r="E2293">
            <v>3.9094329204121516</v>
          </cell>
          <cell r="G2293" t="str">
            <v>LUXEMBOURG</v>
          </cell>
          <cell r="H2293">
            <v>4</v>
          </cell>
        </row>
        <row r="2294">
          <cell r="B2294" t="str">
            <v>43131EUR12</v>
          </cell>
          <cell r="C2294" t="str">
            <v>43131MALTA</v>
          </cell>
          <cell r="D2294" t="str">
            <v>EUR12</v>
          </cell>
          <cell r="E2294">
            <v>3.9094329204121516</v>
          </cell>
          <cell r="G2294" t="str">
            <v>MALTA</v>
          </cell>
          <cell r="H2294">
            <v>4</v>
          </cell>
        </row>
        <row r="2295">
          <cell r="B2295" t="str">
            <v>43131EUR13</v>
          </cell>
          <cell r="C2295" t="str">
            <v>43131MONTENEGRO</v>
          </cell>
          <cell r="D2295" t="str">
            <v>EUR13</v>
          </cell>
          <cell r="E2295">
            <v>3.9094329204121516</v>
          </cell>
          <cell r="G2295" t="str">
            <v>MONTENEGRO</v>
          </cell>
          <cell r="H2295">
            <v>6</v>
          </cell>
        </row>
        <row r="2296">
          <cell r="B2296" t="str">
            <v>43131EUR14</v>
          </cell>
          <cell r="C2296" t="str">
            <v>43131NETHERLANDS</v>
          </cell>
          <cell r="D2296" t="str">
            <v>EUR14</v>
          </cell>
          <cell r="E2296">
            <v>3.9094329204121516</v>
          </cell>
          <cell r="G2296" t="str">
            <v>NETHERLANDS</v>
          </cell>
          <cell r="H2296">
            <v>4</v>
          </cell>
        </row>
        <row r="2297">
          <cell r="B2297" t="str">
            <v>43131EUR15</v>
          </cell>
          <cell r="C2297" t="str">
            <v>43131PORTUGAL</v>
          </cell>
          <cell r="D2297" t="str">
            <v>EUR15</v>
          </cell>
          <cell r="E2297">
            <v>3.9094329204121516</v>
          </cell>
          <cell r="G2297" t="str">
            <v>PORTUGAL</v>
          </cell>
          <cell r="H2297">
            <v>4</v>
          </cell>
        </row>
        <row r="2298">
          <cell r="B2298" t="str">
            <v>43131EUR16</v>
          </cell>
          <cell r="C2298" t="str">
            <v>43131SLOVAKIA</v>
          </cell>
          <cell r="D2298" t="str">
            <v>EUR16</v>
          </cell>
          <cell r="E2298">
            <v>3.9094329204121516</v>
          </cell>
          <cell r="G2298" t="str">
            <v>SLOVAKIA</v>
          </cell>
          <cell r="H2298">
            <v>5</v>
          </cell>
        </row>
        <row r="2299">
          <cell r="B2299" t="str">
            <v>43131EUR17</v>
          </cell>
          <cell r="C2299" t="str">
            <v>43131SLOVENIA</v>
          </cell>
          <cell r="D2299" t="str">
            <v>EUR17</v>
          </cell>
          <cell r="E2299">
            <v>3.9094329204121516</v>
          </cell>
          <cell r="G2299" t="str">
            <v>SLOVENIA</v>
          </cell>
          <cell r="H2299">
            <v>6</v>
          </cell>
        </row>
        <row r="2300">
          <cell r="B2300" t="str">
            <v>43131EUR18</v>
          </cell>
          <cell r="C2300" t="str">
            <v>43131SPAIN</v>
          </cell>
          <cell r="D2300" t="str">
            <v>EUR18</v>
          </cell>
          <cell r="E2300">
            <v>3.9094329204121516</v>
          </cell>
          <cell r="G2300" t="str">
            <v>SPAIN</v>
          </cell>
          <cell r="H2300">
            <v>4</v>
          </cell>
        </row>
        <row r="2301">
          <cell r="B2301" t="str">
            <v>43131Eastern European Institutions</v>
          </cell>
          <cell r="C2301" t="str">
            <v>43131Eastern European Institutions</v>
          </cell>
          <cell r="D2301" t="str">
            <v>Eastern European Institutions</v>
          </cell>
          <cell r="E2301">
            <v>2.25</v>
          </cell>
          <cell r="G2301" t="str">
            <v>Eastern European Institutions</v>
          </cell>
          <cell r="H2301">
            <v>5</v>
          </cell>
        </row>
        <row r="2302">
          <cell r="B2302" t="str">
            <v>43159AED</v>
          </cell>
          <cell r="C2302" t="str">
            <v>43159U. A. E.</v>
          </cell>
          <cell r="D2302" t="str">
            <v>AED</v>
          </cell>
          <cell r="E2302">
            <v>4.6298826044210131</v>
          </cell>
          <cell r="F2302">
            <v>2.8371666666666666</v>
          </cell>
          <cell r="G2302" t="str">
            <v>U. A. E.</v>
          </cell>
          <cell r="H2302">
            <v>5</v>
          </cell>
        </row>
        <row r="2303">
          <cell r="B2303" t="str">
            <v>43159ARS</v>
          </cell>
          <cell r="C2303" t="str">
            <v>43159ARGENTINA</v>
          </cell>
          <cell r="D2303" t="str">
            <v>ARS</v>
          </cell>
          <cell r="E2303">
            <v>14.44874991177603</v>
          </cell>
          <cell r="F2303">
            <v>17.218666666666667</v>
          </cell>
          <cell r="G2303" t="str">
            <v>ARGENTINA</v>
          </cell>
          <cell r="H2303">
            <v>6</v>
          </cell>
        </row>
        <row r="2304">
          <cell r="B2304" t="str">
            <v>43159AUD</v>
          </cell>
          <cell r="C2304" t="str">
            <v>43159AUSTRALIA</v>
          </cell>
          <cell r="D2304" t="str">
            <v>AUD</v>
          </cell>
          <cell r="E2304">
            <v>4.6753160699245102</v>
          </cell>
          <cell r="F2304">
            <v>2.2171666666666665</v>
          </cell>
          <cell r="G2304" t="str">
            <v>AUSTRALIA</v>
          </cell>
          <cell r="H2304">
            <v>3.6742940647500246</v>
          </cell>
        </row>
        <row r="2305">
          <cell r="B2305" t="str">
            <v>43159BDT</v>
          </cell>
          <cell r="C2305" t="str">
            <v>43159BANGLADESH</v>
          </cell>
          <cell r="D2305" t="str">
            <v>BDT</v>
          </cell>
          <cell r="E2305">
            <v>7.8737705387797154</v>
          </cell>
          <cell r="F2305">
            <v>5.7146666666666661</v>
          </cell>
          <cell r="G2305" t="str">
            <v>BANGLADESH</v>
          </cell>
          <cell r="H2305">
            <v>6</v>
          </cell>
        </row>
        <row r="2306">
          <cell r="B2306" t="str">
            <v>43159BRL</v>
          </cell>
          <cell r="C2306" t="str">
            <v>43159BRAZIL</v>
          </cell>
          <cell r="D2306" t="str">
            <v>BRL</v>
          </cell>
          <cell r="E2306">
            <v>6.2877902337943583</v>
          </cell>
          <cell r="F2306">
            <v>4.0463333333333331</v>
          </cell>
          <cell r="G2306" t="str">
            <v>BRAZIL</v>
          </cell>
          <cell r="H2306">
            <v>7</v>
          </cell>
        </row>
        <row r="2307">
          <cell r="B2307" t="str">
            <v>43159BWP</v>
          </cell>
          <cell r="C2307" t="str">
            <v>43159BOTSWANA</v>
          </cell>
          <cell r="D2307" t="str">
            <v>BWP</v>
          </cell>
          <cell r="E2307">
            <v>6.0999614689788242</v>
          </cell>
          <cell r="F2307">
            <v>3.7166666666666668</v>
          </cell>
          <cell r="G2307" t="str">
            <v>BOTSWANA</v>
          </cell>
          <cell r="H2307">
            <v>6</v>
          </cell>
        </row>
        <row r="2308">
          <cell r="B2308" t="str">
            <v>43159CAD</v>
          </cell>
          <cell r="C2308" t="str">
            <v>43159CANADA</v>
          </cell>
          <cell r="D2308" t="str">
            <v>CAD</v>
          </cell>
          <cell r="E2308">
            <v>4.1871630208500523</v>
          </cell>
          <cell r="F2308">
            <v>1.8325</v>
          </cell>
          <cell r="G2308" t="str">
            <v>CANADA</v>
          </cell>
          <cell r="H2308">
            <v>4</v>
          </cell>
        </row>
        <row r="2309">
          <cell r="B2309" t="str">
            <v>43159CHF</v>
          </cell>
          <cell r="C2309" t="str">
            <v>43159SWITZERLAND</v>
          </cell>
          <cell r="D2309" t="str">
            <v>CHF</v>
          </cell>
          <cell r="E2309">
            <v>3.1146767813813128</v>
          </cell>
          <cell r="F2309">
            <v>0.61399999999999999</v>
          </cell>
          <cell r="G2309" t="str">
            <v>SWITZERLAND</v>
          </cell>
          <cell r="H2309">
            <v>4</v>
          </cell>
        </row>
        <row r="2310">
          <cell r="B2310" t="str">
            <v>43159CLP</v>
          </cell>
          <cell r="C2310" t="str">
            <v>43159CHILE</v>
          </cell>
          <cell r="D2310" t="str">
            <v>CLP</v>
          </cell>
          <cell r="E2310">
            <v>5.1927363630763814</v>
          </cell>
          <cell r="F2310">
            <v>2.7616666666666667</v>
          </cell>
          <cell r="G2310" t="str">
            <v>CHILE</v>
          </cell>
          <cell r="H2310">
            <v>5</v>
          </cell>
        </row>
        <row r="2311">
          <cell r="B2311" t="str">
            <v>43159CNY</v>
          </cell>
          <cell r="C2311" t="str">
            <v>43159CHINA</v>
          </cell>
          <cell r="D2311" t="str">
            <v>CNY</v>
          </cell>
          <cell r="E2311">
            <v>4.7899687789558367</v>
          </cell>
          <cell r="F2311">
            <v>2.4166666666666665</v>
          </cell>
          <cell r="G2311" t="str">
            <v>CHINA</v>
          </cell>
          <cell r="H2311">
            <v>5</v>
          </cell>
        </row>
        <row r="2312">
          <cell r="B2312" t="str">
            <v>43159COP</v>
          </cell>
          <cell r="C2312" t="str">
            <v>43159COLOMBIA</v>
          </cell>
          <cell r="D2312" t="str">
            <v>COP</v>
          </cell>
          <cell r="E2312">
            <v>5.3085334347460913</v>
          </cell>
          <cell r="F2312">
            <v>3.2441666666666666</v>
          </cell>
          <cell r="G2312" t="str">
            <v>COLOMBIA</v>
          </cell>
          <cell r="H2312">
            <v>5</v>
          </cell>
        </row>
        <row r="2313">
          <cell r="B2313" t="str">
            <v>43159CZK</v>
          </cell>
          <cell r="C2313" t="str">
            <v>43159CZECH REPUBLIC</v>
          </cell>
          <cell r="D2313" t="str">
            <v>CZK</v>
          </cell>
          <cell r="E2313">
            <v>4.2099685904913677</v>
          </cell>
          <cell r="F2313">
            <v>1.8333333333333333</v>
          </cell>
          <cell r="G2313" t="str">
            <v>CZECH REPUBLIC</v>
          </cell>
          <cell r="H2313">
            <v>5</v>
          </cell>
        </row>
        <row r="2314">
          <cell r="B2314" t="str">
            <v>43159DKK</v>
          </cell>
          <cell r="C2314" t="str">
            <v>43159DENMARK</v>
          </cell>
          <cell r="D2314" t="str">
            <v>DKK</v>
          </cell>
          <cell r="E2314">
            <v>4.0897324438707674</v>
          </cell>
          <cell r="F2314">
            <v>1.4666666666666668</v>
          </cell>
          <cell r="G2314" t="str">
            <v>DENMARK</v>
          </cell>
          <cell r="H2314">
            <v>4</v>
          </cell>
        </row>
        <row r="2315">
          <cell r="B2315" t="str">
            <v>43159EGP</v>
          </cell>
          <cell r="C2315" t="str">
            <v>43159EGYPT</v>
          </cell>
          <cell r="D2315" t="str">
            <v>EGP</v>
          </cell>
          <cell r="E2315">
            <v>13.981775863756955</v>
          </cell>
          <cell r="F2315">
            <v>20.039166666666667</v>
          </cell>
          <cell r="G2315" t="str">
            <v>EGYPT</v>
          </cell>
          <cell r="H2315">
            <v>5</v>
          </cell>
        </row>
        <row r="2316">
          <cell r="B2316" t="str">
            <v>43159EUR</v>
          </cell>
          <cell r="C2316" t="str">
            <v>43159AUSTRIA</v>
          </cell>
          <cell r="D2316" t="str">
            <v>EUR</v>
          </cell>
          <cell r="E2316">
            <v>3.9094329204121516</v>
          </cell>
          <cell r="F2316">
            <v>1.8801666666666665</v>
          </cell>
          <cell r="G2316" t="str">
            <v>AUSTRIA</v>
          </cell>
          <cell r="H2316">
            <v>4</v>
          </cell>
        </row>
        <row r="2317">
          <cell r="B2317" t="str">
            <v>43159GBP</v>
          </cell>
          <cell r="C2317" t="str">
            <v>43159UNITED KINGDOM</v>
          </cell>
          <cell r="D2317" t="str">
            <v>GBP</v>
          </cell>
          <cell r="E2317">
            <v>4.4473176346253842</v>
          </cell>
          <cell r="F2317">
            <v>2.5773333333333337</v>
          </cell>
          <cell r="G2317" t="str">
            <v>UNITED KINGDOM</v>
          </cell>
          <cell r="H2317">
            <v>4</v>
          </cell>
        </row>
        <row r="2318">
          <cell r="B2318" t="str">
            <v>43159GEL</v>
          </cell>
          <cell r="C2318" t="str">
            <v>43159GEORGIA</v>
          </cell>
          <cell r="D2318" t="str">
            <v>GEL</v>
          </cell>
          <cell r="E2318">
            <v>5.2879716218309261</v>
          </cell>
          <cell r="F2318">
            <v>3.0310000000000001</v>
          </cell>
          <cell r="G2318" t="str">
            <v>GEORGIA</v>
          </cell>
          <cell r="H2318">
            <v>6</v>
          </cell>
        </row>
        <row r="2319">
          <cell r="B2319" t="str">
            <v>43159HKD</v>
          </cell>
          <cell r="C2319" t="str">
            <v>43159HONG KONG</v>
          </cell>
          <cell r="D2319" t="str">
            <v>HKD</v>
          </cell>
          <cell r="E2319">
            <v>4.8496101346745348</v>
          </cell>
          <cell r="F2319">
            <v>2.2333333333333334</v>
          </cell>
          <cell r="G2319" t="str">
            <v>HONG KONG</v>
          </cell>
          <cell r="H2319">
            <v>4</v>
          </cell>
        </row>
        <row r="2320">
          <cell r="B2320" t="str">
            <v>43159GHS</v>
          </cell>
          <cell r="C2320" t="str">
            <v>43159GHANA</v>
          </cell>
          <cell r="D2320" t="str">
            <v>GHS</v>
          </cell>
          <cell r="E2320">
            <v>9.0436854529162751</v>
          </cell>
          <cell r="F2320">
            <v>8.6666666666666661</v>
          </cell>
          <cell r="G2320" t="str">
            <v>GHANA</v>
          </cell>
          <cell r="H2320">
            <v>6</v>
          </cell>
        </row>
        <row r="2321">
          <cell r="B2321" t="str">
            <v>43159HRK</v>
          </cell>
          <cell r="C2321" t="str">
            <v>43159CROATIA</v>
          </cell>
          <cell r="D2321" t="str">
            <v>HRK</v>
          </cell>
          <cell r="E2321">
            <v>3.8658567810659497</v>
          </cell>
          <cell r="F2321">
            <v>1.2195</v>
          </cell>
          <cell r="G2321" t="str">
            <v>CROATIA</v>
          </cell>
          <cell r="H2321">
            <v>6</v>
          </cell>
        </row>
        <row r="2322">
          <cell r="B2322" t="str">
            <v>43159HUF</v>
          </cell>
          <cell r="C2322" t="str">
            <v>43159HUNGARY</v>
          </cell>
          <cell r="D2322" t="str">
            <v>HUF</v>
          </cell>
          <cell r="E2322">
            <v>5.260959448265238</v>
          </cell>
          <cell r="F2322">
            <v>3.1528333333333336</v>
          </cell>
          <cell r="G2322" t="str">
            <v>HUNGARY</v>
          </cell>
          <cell r="H2322">
            <v>5</v>
          </cell>
        </row>
        <row r="2323">
          <cell r="B2323" t="str">
            <v>43159IDR</v>
          </cell>
          <cell r="C2323" t="str">
            <v>43159INDONESIA</v>
          </cell>
          <cell r="D2323" t="str">
            <v>IDR</v>
          </cell>
          <cell r="E2323">
            <v>5.9537088253216277</v>
          </cell>
          <cell r="F2323">
            <v>3.8805000000000001</v>
          </cell>
          <cell r="G2323" t="str">
            <v>INDONESIA</v>
          </cell>
          <cell r="H2323">
            <v>5</v>
          </cell>
        </row>
        <row r="2324">
          <cell r="B2324" t="str">
            <v>43159ILS</v>
          </cell>
          <cell r="C2324" t="str">
            <v>43159ISRAEL</v>
          </cell>
          <cell r="D2324" t="str">
            <v>ILS</v>
          </cell>
          <cell r="E2324">
            <v>3.8072734370978392</v>
          </cell>
          <cell r="F2324">
            <v>0.6811666666666667</v>
          </cell>
          <cell r="G2324" t="str">
            <v>ISRAEL</v>
          </cell>
          <cell r="H2324">
            <v>4</v>
          </cell>
        </row>
        <row r="2325">
          <cell r="B2325" t="str">
            <v>43159INR</v>
          </cell>
          <cell r="C2325" t="str">
            <v>43159INDIA</v>
          </cell>
          <cell r="D2325" t="str">
            <v>INR</v>
          </cell>
          <cell r="E2325">
            <v>7.1603908047480216</v>
          </cell>
          <cell r="F2325">
            <v>4.8739999999999997</v>
          </cell>
          <cell r="G2325" t="str">
            <v>INDIA</v>
          </cell>
          <cell r="H2325">
            <v>5</v>
          </cell>
        </row>
        <row r="2326">
          <cell r="B2326" t="str">
            <v>43159IQD</v>
          </cell>
          <cell r="C2326" t="str">
            <v>43159IRAQ</v>
          </cell>
          <cell r="D2326" t="str">
            <v>IQD</v>
          </cell>
          <cell r="E2326">
            <v>4.2500000000000018</v>
          </cell>
          <cell r="F2326">
            <v>2</v>
          </cell>
          <cell r="G2326" t="str">
            <v>IRAQ</v>
          </cell>
          <cell r="H2326">
            <v>6</v>
          </cell>
        </row>
        <row r="2327">
          <cell r="B2327" t="str">
            <v>43159JPY</v>
          </cell>
          <cell r="C2327" t="str">
            <v>43159JAPAN</v>
          </cell>
          <cell r="D2327" t="str">
            <v>JPY</v>
          </cell>
          <cell r="E2327">
            <v>3.4912168110389921</v>
          </cell>
          <cell r="F2327">
            <v>0.64050000000000007</v>
          </cell>
          <cell r="G2327" t="str">
            <v>JAPAN</v>
          </cell>
          <cell r="H2327">
            <v>4</v>
          </cell>
        </row>
        <row r="2328">
          <cell r="B2328" t="str">
            <v>43159KES</v>
          </cell>
          <cell r="C2328" t="str">
            <v>43159KENYA</v>
          </cell>
          <cell r="D2328" t="str">
            <v>KES</v>
          </cell>
          <cell r="E2328">
            <v>7.2919739881882863</v>
          </cell>
          <cell r="F2328">
            <v>5.1609999999999996</v>
          </cell>
          <cell r="G2328" t="str">
            <v>KENYA</v>
          </cell>
          <cell r="H2328">
            <v>7.5</v>
          </cell>
        </row>
        <row r="2329">
          <cell r="B2329" t="str">
            <v>43159JOD</v>
          </cell>
          <cell r="C2329" t="str">
            <v>43159JORDAN</v>
          </cell>
          <cell r="D2329" t="str">
            <v>JOD</v>
          </cell>
          <cell r="E2329">
            <v>4.5363507664002247</v>
          </cell>
          <cell r="F2329">
            <v>1.6258333333333332</v>
          </cell>
          <cell r="G2329" t="str">
            <v>JORDAN</v>
          </cell>
          <cell r="H2329">
            <v>6</v>
          </cell>
        </row>
        <row r="2330">
          <cell r="B2330" t="str">
            <v>43159KHR</v>
          </cell>
          <cell r="C2330" t="str">
            <v>43159CAMBODIA</v>
          </cell>
          <cell r="D2330" t="str">
            <v>KHR</v>
          </cell>
          <cell r="E2330">
            <v>5.4516571302522223</v>
          </cell>
          <cell r="F2330">
            <v>3.4531666666666663</v>
          </cell>
          <cell r="G2330" t="str">
            <v>CAMBODIA</v>
          </cell>
          <cell r="H2330">
            <v>6</v>
          </cell>
        </row>
        <row r="2331">
          <cell r="B2331" t="str">
            <v>43159KRW</v>
          </cell>
          <cell r="C2331" t="str">
            <v>43159KOREA SOUTH(REPUBLIC OF KOREA)</v>
          </cell>
          <cell r="D2331" t="str">
            <v>KRW</v>
          </cell>
          <cell r="E2331">
            <v>4.2049847946151999</v>
          </cell>
          <cell r="F2331">
            <v>1.8791666666666667</v>
          </cell>
          <cell r="G2331" t="str">
            <v>KOREA SOUTH(REPUBLIC OF KOREA)</v>
          </cell>
          <cell r="H2331">
            <v>5</v>
          </cell>
        </row>
        <row r="2332">
          <cell r="B2332" t="str">
            <v>43159KWD</v>
          </cell>
          <cell r="C2332" t="str">
            <v>43159KUWAIT</v>
          </cell>
          <cell r="D2332" t="str">
            <v>KWD</v>
          </cell>
          <cell r="E2332">
            <v>4.9499999999999913</v>
          </cell>
          <cell r="F2332">
            <v>2.7</v>
          </cell>
          <cell r="G2332" t="str">
            <v>KUWAIT</v>
          </cell>
          <cell r="H2332">
            <v>6</v>
          </cell>
        </row>
        <row r="2333">
          <cell r="B2333" t="str">
            <v>43159LKR</v>
          </cell>
          <cell r="C2333" t="str">
            <v>43159SRI LANKA</v>
          </cell>
          <cell r="D2333" t="str">
            <v>LKR</v>
          </cell>
          <cell r="E2333">
            <v>7.2555994027622175</v>
          </cell>
          <cell r="F2333">
            <v>5.0233333333333325</v>
          </cell>
          <cell r="G2333" t="str">
            <v>SRI LANKA</v>
          </cell>
          <cell r="H2333">
            <v>6</v>
          </cell>
        </row>
        <row r="2334">
          <cell r="B2334" t="str">
            <v>43159KZT</v>
          </cell>
          <cell r="C2334" t="str">
            <v>43159KAZAKHSTAN</v>
          </cell>
          <cell r="D2334" t="str">
            <v>KZT</v>
          </cell>
          <cell r="E2334">
            <v>7.2867465443970527</v>
          </cell>
          <cell r="F2334">
            <v>6.4011666666666658</v>
          </cell>
          <cell r="G2334" t="str">
            <v>KAZAKHSTAN</v>
          </cell>
          <cell r="H2334">
            <v>6</v>
          </cell>
        </row>
        <row r="2335">
          <cell r="B2335" t="str">
            <v>43159MAD</v>
          </cell>
          <cell r="C2335" t="str">
            <v>43159MOROCCO</v>
          </cell>
          <cell r="D2335" t="str">
            <v>MAD</v>
          </cell>
          <cell r="E2335">
            <v>4.1698742137199076</v>
          </cell>
          <cell r="F2335">
            <v>1.6666666666666665</v>
          </cell>
          <cell r="G2335" t="str">
            <v>MOROCCO</v>
          </cell>
          <cell r="H2335">
            <v>6</v>
          </cell>
        </row>
        <row r="2336">
          <cell r="B2336" t="str">
            <v>43159MXN</v>
          </cell>
          <cell r="C2336" t="str">
            <v>43159MEXICO</v>
          </cell>
          <cell r="D2336" t="str">
            <v>MXN</v>
          </cell>
          <cell r="E2336">
            <v>5.4273795970396979</v>
          </cell>
          <cell r="F2336">
            <v>3.6541666666666663</v>
          </cell>
          <cell r="G2336" t="str">
            <v>MEXICO</v>
          </cell>
          <cell r="H2336">
            <v>7</v>
          </cell>
        </row>
        <row r="2337">
          <cell r="B2337" t="str">
            <v>43159MYR</v>
          </cell>
          <cell r="C2337" t="str">
            <v>43159MALAYSIA</v>
          </cell>
          <cell r="D2337" t="str">
            <v>MYR</v>
          </cell>
          <cell r="E2337">
            <v>5.2291915941303149</v>
          </cell>
          <cell r="F2337">
            <v>2.9133333333333336</v>
          </cell>
          <cell r="G2337" t="str">
            <v>MALAYSIA</v>
          </cell>
          <cell r="H2337">
            <v>5</v>
          </cell>
        </row>
        <row r="2338">
          <cell r="B2338" t="str">
            <v>43159NGN</v>
          </cell>
          <cell r="C2338" t="str">
            <v>43159NIGERIA</v>
          </cell>
          <cell r="D2338" t="str">
            <v>NGN</v>
          </cell>
          <cell r="E2338">
            <v>16.758675939255443</v>
          </cell>
          <cell r="F2338">
            <v>14.699333333333332</v>
          </cell>
          <cell r="G2338" t="str">
            <v>NIGERIA</v>
          </cell>
          <cell r="H2338">
            <v>6</v>
          </cell>
        </row>
        <row r="2339">
          <cell r="B2339" t="str">
            <v>43159NOK</v>
          </cell>
          <cell r="C2339" t="str">
            <v>43159NORWAY</v>
          </cell>
          <cell r="D2339" t="str">
            <v>NOK</v>
          </cell>
          <cell r="E2339">
            <v>4.5498239700960266</v>
          </cell>
          <cell r="F2339">
            <v>2.0333333333333332</v>
          </cell>
          <cell r="G2339" t="str">
            <v>NORWAY</v>
          </cell>
          <cell r="H2339">
            <v>4</v>
          </cell>
        </row>
        <row r="2340">
          <cell r="B2340" t="str">
            <v>43159NZD</v>
          </cell>
          <cell r="C2340" t="str">
            <v>43159NEW ZEALAND</v>
          </cell>
          <cell r="D2340" t="str">
            <v>NZD</v>
          </cell>
          <cell r="E2340">
            <v>4.2547979596879317</v>
          </cell>
          <cell r="F2340">
            <v>1.9725000000000001</v>
          </cell>
          <cell r="G2340" t="str">
            <v>NEW ZEALAND</v>
          </cell>
          <cell r="H2340">
            <v>4.0948121749866031</v>
          </cell>
        </row>
        <row r="2341">
          <cell r="B2341" t="str">
            <v>43159OMR</v>
          </cell>
          <cell r="C2341" t="str">
            <v>43159OMAN</v>
          </cell>
          <cell r="D2341" t="str">
            <v>OMR</v>
          </cell>
          <cell r="E2341">
            <v>5.5100531295285951</v>
          </cell>
          <cell r="F2341">
            <v>3.2666666666666666</v>
          </cell>
          <cell r="G2341" t="str">
            <v>OMAN</v>
          </cell>
          <cell r="H2341">
            <v>6</v>
          </cell>
        </row>
        <row r="2342">
          <cell r="B2342" t="str">
            <v>43159PEN</v>
          </cell>
          <cell r="C2342" t="str">
            <v>43159PERU</v>
          </cell>
          <cell r="D2342" t="str">
            <v>PEN</v>
          </cell>
          <cell r="E2342">
            <v>4.5556765354246167</v>
          </cell>
          <cell r="F2342">
            <v>2.3240000000000003</v>
          </cell>
          <cell r="G2342" t="str">
            <v>PERU</v>
          </cell>
          <cell r="H2342">
            <v>5</v>
          </cell>
        </row>
        <row r="2343">
          <cell r="B2343" t="str">
            <v>43159PGK</v>
          </cell>
          <cell r="C2343" t="str">
            <v>43159PAPUA NEW GUINEA</v>
          </cell>
          <cell r="D2343" t="str">
            <v>PGK</v>
          </cell>
          <cell r="E2343">
            <v>7.3498100662196899</v>
          </cell>
          <cell r="F2343">
            <v>5.4166666666666661</v>
          </cell>
          <cell r="G2343" t="str">
            <v>PAPUA NEW GUINEA</v>
          </cell>
          <cell r="H2343">
            <v>6</v>
          </cell>
        </row>
        <row r="2344">
          <cell r="B2344" t="str">
            <v>43159PHP</v>
          </cell>
          <cell r="C2344" t="str">
            <v>43159PHILIPPINES</v>
          </cell>
          <cell r="D2344" t="str">
            <v>PHP</v>
          </cell>
          <cell r="E2344">
            <v>5.2533997755562147</v>
          </cell>
          <cell r="F2344">
            <v>3.0141666666666667</v>
          </cell>
          <cell r="G2344" t="str">
            <v>PHILIPPINES</v>
          </cell>
          <cell r="H2344">
            <v>5</v>
          </cell>
        </row>
        <row r="2345">
          <cell r="B2345" t="str">
            <v>43159PKR</v>
          </cell>
          <cell r="C2345" t="str">
            <v>43159PAKISTAN</v>
          </cell>
          <cell r="D2345" t="str">
            <v>PKR</v>
          </cell>
          <cell r="E2345">
            <v>7.2153771743839226</v>
          </cell>
          <cell r="F2345">
            <v>4.855833333333333</v>
          </cell>
          <cell r="G2345" t="str">
            <v>PAKISTAN</v>
          </cell>
          <cell r="H2345">
            <v>6</v>
          </cell>
        </row>
        <row r="2346">
          <cell r="B2346" t="str">
            <v>43159PLN</v>
          </cell>
          <cell r="C2346" t="str">
            <v>43159POLAND</v>
          </cell>
          <cell r="D2346" t="str">
            <v>PLN</v>
          </cell>
          <cell r="E2346">
            <v>4.708754335161295</v>
          </cell>
          <cell r="F2346">
            <v>2.3156666666666665</v>
          </cell>
          <cell r="G2346" t="str">
            <v>POLAND</v>
          </cell>
          <cell r="H2346">
            <v>4.5</v>
          </cell>
        </row>
        <row r="2347">
          <cell r="B2347" t="str">
            <v>43159QAR</v>
          </cell>
          <cell r="C2347" t="str">
            <v>43159QATAR</v>
          </cell>
          <cell r="D2347" t="str">
            <v>QAR</v>
          </cell>
          <cell r="E2347">
            <v>4.9471905571079979</v>
          </cell>
          <cell r="F2347">
            <v>4.3688333333333338</v>
          </cell>
          <cell r="G2347" t="str">
            <v>QATAR</v>
          </cell>
          <cell r="H2347">
            <v>6</v>
          </cell>
        </row>
        <row r="2348">
          <cell r="B2348" t="str">
            <v>43159RON</v>
          </cell>
          <cell r="C2348" t="str">
            <v>43159ROMANIA</v>
          </cell>
          <cell r="D2348" t="str">
            <v>RON</v>
          </cell>
          <cell r="E2348">
            <v>5.1421361563781112</v>
          </cell>
          <cell r="F2348">
            <v>3.2918333333333329</v>
          </cell>
          <cell r="G2348" t="str">
            <v>ROMANIA</v>
          </cell>
          <cell r="H2348">
            <v>6</v>
          </cell>
        </row>
        <row r="2349">
          <cell r="B2349" t="str">
            <v>43159RUB</v>
          </cell>
          <cell r="C2349" t="str">
            <v>43159RUSSIAN FEDERATION</v>
          </cell>
          <cell r="D2349" t="str">
            <v>RUB</v>
          </cell>
          <cell r="E2349">
            <v>6.2321939037926413</v>
          </cell>
          <cell r="F2349">
            <v>3.9258333333333333</v>
          </cell>
          <cell r="G2349" t="str">
            <v>RUSSIAN FEDERATION</v>
          </cell>
          <cell r="H2349">
            <v>6</v>
          </cell>
        </row>
        <row r="2350">
          <cell r="B2350" t="str">
            <v>43159SAR</v>
          </cell>
          <cell r="C2350" t="str">
            <v>43159SAUDI ARABIA</v>
          </cell>
          <cell r="D2350" t="str">
            <v>SAR</v>
          </cell>
          <cell r="E2350">
            <v>4.8899190763358504</v>
          </cell>
          <cell r="F2350">
            <v>4.4651666666666667</v>
          </cell>
          <cell r="G2350" t="str">
            <v>SAUDI ARABIA</v>
          </cell>
          <cell r="H2350">
            <v>5</v>
          </cell>
        </row>
        <row r="2351">
          <cell r="B2351" t="str">
            <v>43159SEK</v>
          </cell>
          <cell r="C2351" t="str">
            <v>43159SWEDEN</v>
          </cell>
          <cell r="D2351" t="str">
            <v>SEK</v>
          </cell>
          <cell r="E2351">
            <v>4.0848580343068743</v>
          </cell>
          <cell r="F2351">
            <v>1.5958333333333332</v>
          </cell>
          <cell r="G2351" t="str">
            <v>SWEDEN</v>
          </cell>
          <cell r="H2351">
            <v>4</v>
          </cell>
        </row>
        <row r="2352">
          <cell r="B2352" t="str">
            <v>43159SGD</v>
          </cell>
          <cell r="C2352" t="str">
            <v>43159SINGAPORE</v>
          </cell>
          <cell r="D2352" t="str">
            <v>SGD</v>
          </cell>
          <cell r="E2352">
            <v>3.96810981279088</v>
          </cell>
          <cell r="F2352">
            <v>1.3433333333333333</v>
          </cell>
          <cell r="G2352" t="str">
            <v>SINGAPORE</v>
          </cell>
          <cell r="H2352">
            <v>4</v>
          </cell>
        </row>
        <row r="2353">
          <cell r="B2353" t="str">
            <v>43159TZS</v>
          </cell>
          <cell r="C2353" t="str">
            <v>43159TANZANIA, UNITED REPUBLIC OF</v>
          </cell>
          <cell r="D2353" t="str">
            <v>TZS</v>
          </cell>
          <cell r="E2353">
            <v>7.2500000000000044</v>
          </cell>
          <cell r="F2353">
            <v>5</v>
          </cell>
          <cell r="G2353" t="str">
            <v>TANZANIA, UNITED REPUBLIC OF</v>
          </cell>
          <cell r="H2353">
            <v>6</v>
          </cell>
        </row>
        <row r="2354">
          <cell r="B2354" t="str">
            <v>43159THB</v>
          </cell>
          <cell r="C2354" t="str">
            <v>43159THAILAND</v>
          </cell>
          <cell r="D2354" t="str">
            <v>THB</v>
          </cell>
          <cell r="E2354">
            <v>4.1237536077790384</v>
          </cell>
          <cell r="F2354">
            <v>1.08</v>
          </cell>
          <cell r="G2354" t="str">
            <v>THAILAND</v>
          </cell>
          <cell r="H2354">
            <v>5</v>
          </cell>
        </row>
        <row r="2355">
          <cell r="B2355" t="str">
            <v>43159TRY</v>
          </cell>
          <cell r="C2355" t="str">
            <v>43159TURKEY</v>
          </cell>
          <cell r="D2355" t="str">
            <v>TRY</v>
          </cell>
          <cell r="E2355">
            <v>10.453257956660792</v>
          </cell>
          <cell r="F2355">
            <v>9.2573333333333334</v>
          </cell>
          <cell r="G2355" t="str">
            <v>TURKEY</v>
          </cell>
          <cell r="H2355">
            <v>6</v>
          </cell>
        </row>
        <row r="2356">
          <cell r="B2356" t="str">
            <v>43159TWD</v>
          </cell>
          <cell r="C2356" t="str">
            <v>43159TAIWAN</v>
          </cell>
          <cell r="D2356" t="str">
            <v>TWD</v>
          </cell>
          <cell r="E2356">
            <v>3.9896932208044946</v>
          </cell>
          <cell r="F2356">
            <v>1.4166666666666667</v>
          </cell>
          <cell r="G2356" t="str">
            <v>TAIWAN</v>
          </cell>
          <cell r="H2356">
            <v>5</v>
          </cell>
        </row>
        <row r="2357">
          <cell r="B2357" t="str">
            <v>43159UAH</v>
          </cell>
          <cell r="C2357" t="str">
            <v>43159UKRAINE</v>
          </cell>
          <cell r="D2357" t="str">
            <v>UAH</v>
          </cell>
          <cell r="E2357">
            <v>9.0153082539057543</v>
          </cell>
          <cell r="F2357">
            <v>9.4578333333333333</v>
          </cell>
          <cell r="G2357" t="str">
            <v>UKRAINE</v>
          </cell>
          <cell r="H2357">
            <v>6</v>
          </cell>
        </row>
        <row r="2358">
          <cell r="B2358" t="str">
            <v>43159USD</v>
          </cell>
          <cell r="C2358" t="str">
            <v>43159UNITED STATES</v>
          </cell>
          <cell r="D2358" t="str">
            <v>USD</v>
          </cell>
          <cell r="E2358">
            <v>4.5424196643396177</v>
          </cell>
          <cell r="F2358">
            <v>2.2073333333333331</v>
          </cell>
          <cell r="G2358" t="str">
            <v>UNITED STATES</v>
          </cell>
          <cell r="H2358">
            <v>4</v>
          </cell>
        </row>
        <row r="2359">
          <cell r="B2359" t="str">
            <v>43159VND</v>
          </cell>
          <cell r="C2359" t="str">
            <v>43159VIET NAM</v>
          </cell>
          <cell r="D2359" t="str">
            <v>VND</v>
          </cell>
          <cell r="E2359">
            <v>6.2500000000000036</v>
          </cell>
          <cell r="F2359">
            <v>4</v>
          </cell>
          <cell r="G2359" t="str">
            <v>VIET NAM</v>
          </cell>
          <cell r="H2359">
            <v>6</v>
          </cell>
        </row>
        <row r="2360">
          <cell r="B2360" t="str">
            <v>43159XOF</v>
          </cell>
          <cell r="C2360" t="str">
            <v>43159MALI</v>
          </cell>
          <cell r="D2360" t="str">
            <v>XOF</v>
          </cell>
          <cell r="E2360">
            <v>4.0403572667203882</v>
          </cell>
          <cell r="F2360">
            <v>1.2756666666666665</v>
          </cell>
          <cell r="G2360" t="str">
            <v>MALI</v>
          </cell>
          <cell r="H2360">
            <v>6</v>
          </cell>
        </row>
        <row r="2361">
          <cell r="B2361" t="str">
            <v>43159ZAR</v>
          </cell>
          <cell r="C2361" t="str">
            <v>43159SOUTH AFRICA</v>
          </cell>
          <cell r="D2361" t="str">
            <v>ZAR</v>
          </cell>
          <cell r="E2361">
            <v>7.7151770191507465</v>
          </cell>
          <cell r="F2361">
            <v>5.3550000000000004</v>
          </cell>
          <cell r="G2361" t="str">
            <v>SOUTH AFRICA</v>
          </cell>
          <cell r="H2361">
            <v>5</v>
          </cell>
        </row>
        <row r="2362">
          <cell r="B2362" t="str">
            <v>43159ZMW</v>
          </cell>
          <cell r="C2362" t="str">
            <v>43159ZAMBIA</v>
          </cell>
          <cell r="D2362" t="str">
            <v>ZMW</v>
          </cell>
          <cell r="E2362">
            <v>10.129732440972997</v>
          </cell>
          <cell r="F2362">
            <v>7.5</v>
          </cell>
          <cell r="G2362" t="str">
            <v>ZAMBIA</v>
          </cell>
          <cell r="H2362">
            <v>6</v>
          </cell>
        </row>
        <row r="2363">
          <cell r="B2363" t="str">
            <v>43159EUR1</v>
          </cell>
          <cell r="C2363" t="str">
            <v>43159BELGIUM</v>
          </cell>
          <cell r="D2363" t="str">
            <v>EUR1</v>
          </cell>
          <cell r="E2363">
            <v>3.9094329204121516</v>
          </cell>
          <cell r="G2363" t="str">
            <v>BELGIUM</v>
          </cell>
          <cell r="H2363">
            <v>4</v>
          </cell>
        </row>
        <row r="2364">
          <cell r="B2364" t="str">
            <v>43159EUR2</v>
          </cell>
          <cell r="C2364" t="str">
            <v>43159CYPRUS</v>
          </cell>
          <cell r="D2364" t="str">
            <v>EUR2</v>
          </cell>
          <cell r="E2364">
            <v>3.9094329204121516</v>
          </cell>
          <cell r="G2364" t="str">
            <v>CYPRUS</v>
          </cell>
          <cell r="H2364">
            <v>5</v>
          </cell>
        </row>
        <row r="2365">
          <cell r="B2365" t="str">
            <v>43159EUR3</v>
          </cell>
          <cell r="C2365" t="str">
            <v>43159ESTONIA</v>
          </cell>
          <cell r="D2365" t="str">
            <v>EUR3</v>
          </cell>
          <cell r="E2365">
            <v>3.9094329204121516</v>
          </cell>
          <cell r="G2365" t="str">
            <v>ESTONIA</v>
          </cell>
          <cell r="H2365">
            <v>6</v>
          </cell>
        </row>
        <row r="2366">
          <cell r="B2366" t="str">
            <v>43159EUR4</v>
          </cell>
          <cell r="C2366" t="str">
            <v>43159FINLAND</v>
          </cell>
          <cell r="D2366" t="str">
            <v>EUR4</v>
          </cell>
          <cell r="E2366">
            <v>3.9094329204121516</v>
          </cell>
          <cell r="G2366" t="str">
            <v>FINLAND</v>
          </cell>
          <cell r="H2366">
            <v>4</v>
          </cell>
        </row>
        <row r="2367">
          <cell r="B2367" t="str">
            <v>43159EUR5</v>
          </cell>
          <cell r="C2367" t="str">
            <v>43159FRANCE</v>
          </cell>
          <cell r="D2367" t="str">
            <v>EUR5</v>
          </cell>
          <cell r="E2367">
            <v>3.9094329204121516</v>
          </cell>
          <cell r="G2367" t="str">
            <v>FRANCE</v>
          </cell>
          <cell r="H2367">
            <v>4</v>
          </cell>
        </row>
        <row r="2368">
          <cell r="B2368" t="str">
            <v>43159EUR6</v>
          </cell>
          <cell r="C2368" t="str">
            <v>43159GERMANY</v>
          </cell>
          <cell r="D2368" t="str">
            <v>EUR6</v>
          </cell>
          <cell r="E2368">
            <v>3.9094329204121516</v>
          </cell>
          <cell r="G2368" t="str">
            <v>GERMANY</v>
          </cell>
          <cell r="H2368">
            <v>4.3286697615078937</v>
          </cell>
        </row>
        <row r="2369">
          <cell r="B2369" t="str">
            <v>43159EUR7</v>
          </cell>
          <cell r="C2369" t="str">
            <v>43159GREECE</v>
          </cell>
          <cell r="D2369" t="str">
            <v>EUR7</v>
          </cell>
          <cell r="E2369">
            <v>3.9094329204121516</v>
          </cell>
          <cell r="G2369" t="str">
            <v>GREECE</v>
          </cell>
          <cell r="H2369">
            <v>7</v>
          </cell>
        </row>
        <row r="2370">
          <cell r="B2370" t="str">
            <v>43159EUR8</v>
          </cell>
          <cell r="C2370" t="str">
            <v>43159IRELAND</v>
          </cell>
          <cell r="D2370" t="str">
            <v>EUR8</v>
          </cell>
          <cell r="E2370">
            <v>3.9094329204121516</v>
          </cell>
          <cell r="G2370" t="str">
            <v>IRELAND</v>
          </cell>
          <cell r="H2370">
            <v>4</v>
          </cell>
        </row>
        <row r="2371">
          <cell r="B2371" t="str">
            <v>43159EUR9</v>
          </cell>
          <cell r="C2371" t="str">
            <v>43159ITALY</v>
          </cell>
          <cell r="D2371" t="str">
            <v>EUR9</v>
          </cell>
          <cell r="E2371">
            <v>3.9094329204121516</v>
          </cell>
          <cell r="G2371" t="str">
            <v>ITALY</v>
          </cell>
          <cell r="H2371">
            <v>4</v>
          </cell>
        </row>
        <row r="2372">
          <cell r="B2372" t="str">
            <v>43159EUR10</v>
          </cell>
          <cell r="C2372" t="str">
            <v>43159LATVIA</v>
          </cell>
          <cell r="D2372" t="str">
            <v>EUR10</v>
          </cell>
          <cell r="E2372">
            <v>3.9094329204121516</v>
          </cell>
          <cell r="G2372" t="str">
            <v>LATVIA</v>
          </cell>
          <cell r="H2372">
            <v>6</v>
          </cell>
        </row>
        <row r="2373">
          <cell r="B2373" t="str">
            <v>43159EUR11</v>
          </cell>
          <cell r="C2373" t="str">
            <v>43159LUXEMBOURG</v>
          </cell>
          <cell r="D2373" t="str">
            <v>EUR11</v>
          </cell>
          <cell r="E2373">
            <v>3.9094329204121516</v>
          </cell>
          <cell r="G2373" t="str">
            <v>LUXEMBOURG</v>
          </cell>
          <cell r="H2373">
            <v>4</v>
          </cell>
        </row>
        <row r="2374">
          <cell r="B2374" t="str">
            <v>43159EUR12</v>
          </cell>
          <cell r="C2374" t="str">
            <v>43159MALTA</v>
          </cell>
          <cell r="D2374" t="str">
            <v>EUR12</v>
          </cell>
          <cell r="E2374">
            <v>3.9094329204121516</v>
          </cell>
          <cell r="G2374" t="str">
            <v>MALTA</v>
          </cell>
          <cell r="H2374">
            <v>4</v>
          </cell>
        </row>
        <row r="2375">
          <cell r="B2375" t="str">
            <v>43159EUR13</v>
          </cell>
          <cell r="C2375" t="str">
            <v>43159MONTENEGRO</v>
          </cell>
          <cell r="D2375" t="str">
            <v>EUR13</v>
          </cell>
          <cell r="E2375">
            <v>3.9094329204121516</v>
          </cell>
          <cell r="G2375" t="str">
            <v>MONTENEGRO</v>
          </cell>
          <cell r="H2375">
            <v>6</v>
          </cell>
        </row>
        <row r="2376">
          <cell r="B2376" t="str">
            <v>43159EUR14</v>
          </cell>
          <cell r="C2376" t="str">
            <v>43159NETHERLANDS</v>
          </cell>
          <cell r="D2376" t="str">
            <v>EUR14</v>
          </cell>
          <cell r="E2376">
            <v>3.9094329204121516</v>
          </cell>
          <cell r="G2376" t="str">
            <v>NETHERLANDS</v>
          </cell>
          <cell r="H2376">
            <v>4</v>
          </cell>
        </row>
        <row r="2377">
          <cell r="B2377" t="str">
            <v>43159EUR15</v>
          </cell>
          <cell r="C2377" t="str">
            <v>43159PORTUGAL</v>
          </cell>
          <cell r="D2377" t="str">
            <v>EUR15</v>
          </cell>
          <cell r="E2377">
            <v>3.9094329204121516</v>
          </cell>
          <cell r="G2377" t="str">
            <v>PORTUGAL</v>
          </cell>
          <cell r="H2377">
            <v>4</v>
          </cell>
        </row>
        <row r="2378">
          <cell r="B2378" t="str">
            <v>43159EUR16</v>
          </cell>
          <cell r="C2378" t="str">
            <v>43159SLOVAKIA</v>
          </cell>
          <cell r="D2378" t="str">
            <v>EUR16</v>
          </cell>
          <cell r="E2378">
            <v>3.9094329204121516</v>
          </cell>
          <cell r="G2378" t="str">
            <v>SLOVAKIA</v>
          </cell>
          <cell r="H2378">
            <v>5</v>
          </cell>
        </row>
        <row r="2379">
          <cell r="B2379" t="str">
            <v>43159EUR17</v>
          </cell>
          <cell r="C2379" t="str">
            <v>43159SLOVENIA</v>
          </cell>
          <cell r="D2379" t="str">
            <v>EUR17</v>
          </cell>
          <cell r="E2379">
            <v>3.9094329204121516</v>
          </cell>
          <cell r="G2379" t="str">
            <v>SLOVENIA</v>
          </cell>
          <cell r="H2379">
            <v>6</v>
          </cell>
        </row>
        <row r="2380">
          <cell r="B2380" t="str">
            <v>43159EUR18</v>
          </cell>
          <cell r="C2380" t="str">
            <v>43159SPAIN</v>
          </cell>
          <cell r="D2380" t="str">
            <v>EUR18</v>
          </cell>
          <cell r="E2380">
            <v>3.9094329204121516</v>
          </cell>
          <cell r="G2380" t="str">
            <v>SPAIN</v>
          </cell>
          <cell r="H2380">
            <v>4</v>
          </cell>
        </row>
        <row r="2381">
          <cell r="B2381" t="str">
            <v>43159Eastern European Institutions</v>
          </cell>
          <cell r="C2381" t="str">
            <v>43159Eastern European Institutions</v>
          </cell>
          <cell r="D2381" t="str">
            <v>Eastern European Institutions</v>
          </cell>
          <cell r="E2381">
            <v>2.25</v>
          </cell>
          <cell r="G2381" t="str">
            <v>Eastern European Institutions</v>
          </cell>
          <cell r="H2381">
            <v>5</v>
          </cell>
        </row>
        <row r="2382">
          <cell r="B2382" t="str">
            <v>43190AED</v>
          </cell>
          <cell r="C2382" t="str">
            <v>43190U. A. E.</v>
          </cell>
          <cell r="D2382" t="str">
            <v>AED</v>
          </cell>
          <cell r="E2382">
            <v>4.9765622077347951</v>
          </cell>
          <cell r="F2382">
            <v>3.7512499999999998</v>
          </cell>
          <cell r="G2382" t="str">
            <v>U. A. E.</v>
          </cell>
          <cell r="H2382">
            <v>5</v>
          </cell>
        </row>
        <row r="2383">
          <cell r="B2383" t="str">
            <v>43190ARS</v>
          </cell>
          <cell r="C2383" t="str">
            <v>43190ARGENTINA</v>
          </cell>
          <cell r="D2383" t="str">
            <v>ARS</v>
          </cell>
          <cell r="E2383">
            <v>16.1758774448334</v>
          </cell>
          <cell r="F2383">
            <v>20.86525</v>
          </cell>
          <cell r="G2383" t="str">
            <v>ARGENTINA</v>
          </cell>
          <cell r="H2383">
            <v>6</v>
          </cell>
        </row>
        <row r="2384">
          <cell r="B2384" t="str">
            <v>43190AUD</v>
          </cell>
          <cell r="C2384" t="str">
            <v>43190AUSTRALIA</v>
          </cell>
          <cell r="D2384" t="str">
            <v>AUD</v>
          </cell>
          <cell r="E2384">
            <v>4.6859358608191828</v>
          </cell>
          <cell r="F2384">
            <v>2.2720000000000002</v>
          </cell>
          <cell r="G2384" t="str">
            <v>AUSTRALIA</v>
          </cell>
          <cell r="H2384">
            <v>3.3639078507616462</v>
          </cell>
        </row>
        <row r="2385">
          <cell r="B2385" t="str">
            <v>43190BDT</v>
          </cell>
          <cell r="C2385" t="str">
            <v>43190BANGLADESH</v>
          </cell>
          <cell r="D2385" t="str">
            <v>BDT</v>
          </cell>
          <cell r="E2385">
            <v>8.1038783987598606</v>
          </cell>
          <cell r="F2385">
            <v>5.9747500000000002</v>
          </cell>
          <cell r="G2385" t="str">
            <v>BANGLADESH</v>
          </cell>
          <cell r="H2385">
            <v>6</v>
          </cell>
        </row>
        <row r="2386">
          <cell r="B2386" t="str">
            <v>43190BRL</v>
          </cell>
          <cell r="C2386" t="str">
            <v>43190BRAZIL</v>
          </cell>
          <cell r="D2386" t="str">
            <v>BRL</v>
          </cell>
          <cell r="E2386">
            <v>6.2520890993651248</v>
          </cell>
          <cell r="F2386">
            <v>3.6725000000000003</v>
          </cell>
          <cell r="G2386" t="str">
            <v>BRAZIL</v>
          </cell>
          <cell r="H2386">
            <v>7</v>
          </cell>
        </row>
        <row r="2387">
          <cell r="B2387" t="str">
            <v>43190BWP</v>
          </cell>
          <cell r="C2387" t="str">
            <v>43190BOTSWANA</v>
          </cell>
          <cell r="D2387" t="str">
            <v>BWP</v>
          </cell>
          <cell r="E2387">
            <v>6.0999614689788242</v>
          </cell>
          <cell r="F2387">
            <v>3.7250000000000001</v>
          </cell>
          <cell r="G2387" t="str">
            <v>BOTSWANA</v>
          </cell>
          <cell r="H2387">
            <v>6</v>
          </cell>
        </row>
        <row r="2388">
          <cell r="B2388" t="str">
            <v>43190CAD</v>
          </cell>
          <cell r="C2388" t="str">
            <v>43190CANADA</v>
          </cell>
          <cell r="D2388" t="str">
            <v>CAD</v>
          </cell>
          <cell r="E2388">
            <v>4.3629928217084926</v>
          </cell>
          <cell r="F2388">
            <v>2.1537499999999996</v>
          </cell>
          <cell r="G2388" t="str">
            <v>CANADA</v>
          </cell>
          <cell r="H2388">
            <v>4</v>
          </cell>
        </row>
        <row r="2389">
          <cell r="B2389" t="str">
            <v>43190CHF</v>
          </cell>
          <cell r="C2389" t="str">
            <v>43190SWITZERLAND</v>
          </cell>
          <cell r="D2389" t="str">
            <v>CHF</v>
          </cell>
          <cell r="E2389">
            <v>3.1813212363103895</v>
          </cell>
          <cell r="F2389">
            <v>0.76</v>
          </cell>
          <cell r="G2389" t="str">
            <v>SWITZERLAND</v>
          </cell>
          <cell r="H2389">
            <v>4</v>
          </cell>
        </row>
        <row r="2390">
          <cell r="B2390" t="str">
            <v>43190CLP</v>
          </cell>
          <cell r="C2390" t="str">
            <v>43190CHILE</v>
          </cell>
          <cell r="D2390" t="str">
            <v>CLP</v>
          </cell>
          <cell r="E2390">
            <v>5.1771119987088534</v>
          </cell>
          <cell r="F2390">
            <v>2.593</v>
          </cell>
          <cell r="G2390" t="str">
            <v>CHILE</v>
          </cell>
          <cell r="H2390">
            <v>5</v>
          </cell>
        </row>
        <row r="2391">
          <cell r="B2391" t="str">
            <v>43190CNY</v>
          </cell>
          <cell r="C2391" t="str">
            <v>43190CHINA</v>
          </cell>
          <cell r="D2391" t="str">
            <v>CNY</v>
          </cell>
          <cell r="E2391">
            <v>4.9349212201139894</v>
          </cell>
          <cell r="F2391">
            <v>2.5147500000000003</v>
          </cell>
          <cell r="G2391" t="str">
            <v>CHINA</v>
          </cell>
          <cell r="H2391">
            <v>5</v>
          </cell>
        </row>
        <row r="2392">
          <cell r="B2392" t="str">
            <v>43190COP</v>
          </cell>
          <cell r="C2392" t="str">
            <v>43190COLOMBIA</v>
          </cell>
          <cell r="D2392" t="str">
            <v>COP</v>
          </cell>
          <cell r="E2392">
            <v>5.4483824603649014</v>
          </cell>
          <cell r="F2392">
            <v>3.4655</v>
          </cell>
          <cell r="G2392" t="str">
            <v>COLOMBIA</v>
          </cell>
          <cell r="H2392">
            <v>5</v>
          </cell>
        </row>
        <row r="2393">
          <cell r="B2393" t="str">
            <v>43190CZK</v>
          </cell>
          <cell r="C2393" t="str">
            <v>43190CZECH REPUBLIC</v>
          </cell>
          <cell r="D2393" t="str">
            <v>CZK</v>
          </cell>
          <cell r="E2393">
            <v>4.3147178224534324</v>
          </cell>
          <cell r="F2393">
            <v>2.2429999999999994</v>
          </cell>
          <cell r="G2393" t="str">
            <v>CZECH REPUBLIC</v>
          </cell>
          <cell r="H2393">
            <v>5</v>
          </cell>
        </row>
        <row r="2394">
          <cell r="B2394" t="str">
            <v>43190DKK</v>
          </cell>
          <cell r="C2394" t="str">
            <v>43190DENMARK</v>
          </cell>
          <cell r="D2394" t="str">
            <v>DKK</v>
          </cell>
          <cell r="E2394">
            <v>4.0697167716395457</v>
          </cell>
          <cell r="F2394">
            <v>1.4750000000000001</v>
          </cell>
          <cell r="G2394" t="str">
            <v>DENMARK</v>
          </cell>
          <cell r="H2394">
            <v>4</v>
          </cell>
        </row>
        <row r="2395">
          <cell r="B2395" t="str">
            <v>43190EGP</v>
          </cell>
          <cell r="C2395" t="str">
            <v>43190EGYPT</v>
          </cell>
          <cell r="D2395" t="str">
            <v>EGP</v>
          </cell>
          <cell r="E2395">
            <v>13.639206522608086</v>
          </cell>
          <cell r="F2395">
            <v>18.3125</v>
          </cell>
          <cell r="G2395" t="str">
            <v>EGYPT</v>
          </cell>
          <cell r="H2395">
            <v>5</v>
          </cell>
        </row>
        <row r="2396">
          <cell r="B2396" t="str">
            <v>43190EUR</v>
          </cell>
          <cell r="C2396" t="str">
            <v>43190AUSTRIA</v>
          </cell>
          <cell r="D2396" t="str">
            <v>EUR</v>
          </cell>
          <cell r="E2396">
            <v>4.0533982923157721</v>
          </cell>
          <cell r="F2396">
            <v>2.1850000000000001</v>
          </cell>
          <cell r="G2396" t="str">
            <v>AUSTRIA</v>
          </cell>
          <cell r="H2396">
            <v>4</v>
          </cell>
        </row>
        <row r="2397">
          <cell r="B2397" t="str">
            <v>43190GBP</v>
          </cell>
          <cell r="C2397" t="str">
            <v>43190UNITED KINGDOM</v>
          </cell>
          <cell r="D2397" t="str">
            <v>GBP</v>
          </cell>
          <cell r="E2397">
            <v>4.4019417394370022</v>
          </cell>
          <cell r="F2397">
            <v>2.5977500000000004</v>
          </cell>
          <cell r="G2397" t="str">
            <v>UNITED KINGDOM</v>
          </cell>
          <cell r="H2397">
            <v>4</v>
          </cell>
        </row>
        <row r="2398">
          <cell r="B2398" t="str">
            <v>43190GEL</v>
          </cell>
          <cell r="C2398" t="str">
            <v>43190GEORGIA</v>
          </cell>
          <cell r="D2398" t="str">
            <v>GEL</v>
          </cell>
          <cell r="E2398">
            <v>5.3749190213799682</v>
          </cell>
          <cell r="F2398">
            <v>3.46</v>
          </cell>
          <cell r="G2398" t="str">
            <v>GEORGIA</v>
          </cell>
          <cell r="H2398">
            <v>6</v>
          </cell>
        </row>
        <row r="2399">
          <cell r="B2399" t="str">
            <v>43190HKD</v>
          </cell>
          <cell r="C2399" t="str">
            <v>43190HONG KONG</v>
          </cell>
          <cell r="D2399" t="str">
            <v>HKD</v>
          </cell>
          <cell r="E2399">
            <v>4.549843711580829</v>
          </cell>
          <cell r="F2399">
            <v>2.1750000000000003</v>
          </cell>
          <cell r="G2399" t="str">
            <v>HONG KONG</v>
          </cell>
          <cell r="H2399">
            <v>4</v>
          </cell>
        </row>
        <row r="2400">
          <cell r="B2400" t="str">
            <v>43190GHS</v>
          </cell>
          <cell r="C2400" t="str">
            <v>43190GHANA</v>
          </cell>
          <cell r="D2400" t="str">
            <v>GHS</v>
          </cell>
          <cell r="E2400">
            <v>9.7914061284129872</v>
          </cell>
          <cell r="F2400">
            <v>8.5459999999999994</v>
          </cell>
          <cell r="G2400" t="str">
            <v>GHANA</v>
          </cell>
          <cell r="H2400">
            <v>6</v>
          </cell>
        </row>
        <row r="2401">
          <cell r="B2401" t="str">
            <v>43190HRK</v>
          </cell>
          <cell r="C2401" t="str">
            <v>43190CROATIA</v>
          </cell>
          <cell r="D2401" t="str">
            <v>HRK</v>
          </cell>
          <cell r="E2401">
            <v>3.86533022719893</v>
          </cell>
          <cell r="F2401">
            <v>1.496</v>
          </cell>
          <cell r="G2401" t="str">
            <v>CROATIA</v>
          </cell>
          <cell r="H2401">
            <v>6</v>
          </cell>
        </row>
        <row r="2402">
          <cell r="B2402" t="str">
            <v>43190HUF</v>
          </cell>
          <cell r="C2402" t="str">
            <v>43190HUNGARY</v>
          </cell>
          <cell r="D2402" t="str">
            <v>HUF</v>
          </cell>
          <cell r="E2402">
            <v>5.2682170776554829</v>
          </cell>
          <cell r="F2402">
            <v>2.8634999999999997</v>
          </cell>
          <cell r="G2402" t="str">
            <v>HUNGARY</v>
          </cell>
          <cell r="H2402">
            <v>5</v>
          </cell>
        </row>
        <row r="2403">
          <cell r="B2403" t="str">
            <v>43190IDR</v>
          </cell>
          <cell r="C2403" t="str">
            <v>43190INDONESIA</v>
          </cell>
          <cell r="D2403" t="str">
            <v>IDR</v>
          </cell>
          <cell r="E2403">
            <v>5.6468905422355755</v>
          </cell>
          <cell r="F2403">
            <v>3.4937499999999999</v>
          </cell>
          <cell r="G2403" t="str">
            <v>INDONESIA</v>
          </cell>
          <cell r="H2403">
            <v>5</v>
          </cell>
        </row>
        <row r="2404">
          <cell r="B2404" t="str">
            <v>43190ILS</v>
          </cell>
          <cell r="C2404" t="str">
            <v>43190ISRAEL</v>
          </cell>
          <cell r="D2404" t="str">
            <v>ILS</v>
          </cell>
          <cell r="E2404">
            <v>3.812250819199229</v>
          </cell>
          <cell r="F2404">
            <v>0.88250000000000006</v>
          </cell>
          <cell r="G2404" t="str">
            <v>ISRAEL</v>
          </cell>
          <cell r="H2404">
            <v>4</v>
          </cell>
        </row>
        <row r="2405">
          <cell r="B2405" t="str">
            <v>43190INR</v>
          </cell>
          <cell r="C2405" t="str">
            <v>43190INDIA</v>
          </cell>
          <cell r="D2405" t="str">
            <v>INR</v>
          </cell>
          <cell r="E2405">
            <v>7.1267796879755743</v>
          </cell>
          <cell r="F2405">
            <v>4.9552500000000004</v>
          </cell>
          <cell r="G2405" t="str">
            <v>INDIA</v>
          </cell>
          <cell r="H2405">
            <v>5</v>
          </cell>
        </row>
        <row r="2406">
          <cell r="B2406" t="str">
            <v>43190IQD</v>
          </cell>
          <cell r="C2406" t="str">
            <v>43190IRAQ</v>
          </cell>
          <cell r="D2406" t="str">
            <v>IQD</v>
          </cell>
          <cell r="E2406">
            <v>4.2500000000000018</v>
          </cell>
          <cell r="F2406">
            <v>2</v>
          </cell>
          <cell r="G2406" t="str">
            <v>IRAQ</v>
          </cell>
          <cell r="H2406">
            <v>6</v>
          </cell>
        </row>
        <row r="2407">
          <cell r="B2407" t="str">
            <v>43190JPY</v>
          </cell>
          <cell r="C2407" t="str">
            <v>43190JAPAN</v>
          </cell>
          <cell r="D2407" t="str">
            <v>JPY</v>
          </cell>
          <cell r="E2407">
            <v>3.476161867078579</v>
          </cell>
          <cell r="F2407">
            <v>1.1120000000000001</v>
          </cell>
          <cell r="G2407" t="str">
            <v>JAPAN</v>
          </cell>
          <cell r="H2407">
            <v>4</v>
          </cell>
        </row>
        <row r="2408">
          <cell r="B2408" t="str">
            <v>43190KES</v>
          </cell>
          <cell r="C2408" t="str">
            <v>43190KENYA</v>
          </cell>
          <cell r="D2408" t="str">
            <v>KES</v>
          </cell>
          <cell r="E2408">
            <v>7.2163828523647258</v>
          </cell>
          <cell r="F2408">
            <v>4.8815000000000008</v>
          </cell>
          <cell r="G2408" t="str">
            <v>KENYA</v>
          </cell>
          <cell r="H2408">
            <v>7.5</v>
          </cell>
        </row>
        <row r="2409">
          <cell r="B2409" t="str">
            <v>43190JOD</v>
          </cell>
          <cell r="C2409" t="str">
            <v>43190JORDAN</v>
          </cell>
          <cell r="D2409" t="str">
            <v>JOD</v>
          </cell>
          <cell r="E2409">
            <v>4.5363507664002247</v>
          </cell>
          <cell r="F2409">
            <v>1.71075</v>
          </cell>
          <cell r="G2409" t="str">
            <v>JORDAN</v>
          </cell>
          <cell r="H2409">
            <v>6</v>
          </cell>
        </row>
        <row r="2410">
          <cell r="B2410" t="str">
            <v>43190KHR</v>
          </cell>
          <cell r="C2410" t="str">
            <v>43190CAMBODIA</v>
          </cell>
          <cell r="D2410" t="str">
            <v>KHR</v>
          </cell>
          <cell r="E2410">
            <v>5.3931495883768257</v>
          </cell>
          <cell r="F2410">
            <v>3.2514999999999996</v>
          </cell>
          <cell r="G2410" t="str">
            <v>CAMBODIA</v>
          </cell>
          <cell r="H2410">
            <v>6</v>
          </cell>
        </row>
        <row r="2411">
          <cell r="B2411" t="str">
            <v>43190KRW</v>
          </cell>
          <cell r="C2411" t="str">
            <v>43190KOREA SOUTH(REPUBLIC OF KOREA)</v>
          </cell>
          <cell r="D2411" t="str">
            <v>KRW</v>
          </cell>
          <cell r="E2411">
            <v>4.1799442757868546</v>
          </cell>
          <cell r="F2411">
            <v>1.7749999999999999</v>
          </cell>
          <cell r="G2411" t="str">
            <v>KOREA SOUTH(REPUBLIC OF KOREA)</v>
          </cell>
          <cell r="H2411">
            <v>5</v>
          </cell>
        </row>
        <row r="2412">
          <cell r="B2412" t="str">
            <v>43190KWD</v>
          </cell>
          <cell r="C2412" t="str">
            <v>43190KUWAIT</v>
          </cell>
          <cell r="D2412" t="str">
            <v>KWD</v>
          </cell>
          <cell r="E2412">
            <v>5.2691583576135494</v>
          </cell>
          <cell r="F2412">
            <v>2.8000000000000003</v>
          </cell>
          <cell r="G2412" t="str">
            <v>KUWAIT</v>
          </cell>
          <cell r="H2412">
            <v>6</v>
          </cell>
        </row>
        <row r="2413">
          <cell r="B2413" t="str">
            <v>43190LKR</v>
          </cell>
          <cell r="C2413" t="str">
            <v>43190SRI LANKA</v>
          </cell>
          <cell r="D2413" t="str">
            <v>LKR</v>
          </cell>
          <cell r="E2413">
            <v>7.0997856885606039</v>
          </cell>
          <cell r="F2413">
            <v>4.824250000000001</v>
          </cell>
          <cell r="G2413" t="str">
            <v>SRI LANKA</v>
          </cell>
          <cell r="H2413">
            <v>6</v>
          </cell>
        </row>
        <row r="2414">
          <cell r="B2414" t="str">
            <v>43190KZT</v>
          </cell>
          <cell r="C2414" t="str">
            <v>43190KAZAKHSTAN</v>
          </cell>
          <cell r="D2414" t="str">
            <v>KZT</v>
          </cell>
          <cell r="E2414">
            <v>7.2005446867270875</v>
          </cell>
          <cell r="F2414">
            <v>6.2012499999999999</v>
          </cell>
          <cell r="G2414" t="str">
            <v>KAZAKHSTAN</v>
          </cell>
          <cell r="H2414">
            <v>6</v>
          </cell>
        </row>
        <row r="2415">
          <cell r="B2415" t="str">
            <v>43190MAD</v>
          </cell>
          <cell r="C2415" t="str">
            <v>43190MOROCCO</v>
          </cell>
          <cell r="D2415" t="str">
            <v>MAD</v>
          </cell>
          <cell r="E2415">
            <v>4.1297166463972115</v>
          </cell>
          <cell r="F2415">
            <v>1.55</v>
          </cell>
          <cell r="G2415" t="str">
            <v>MOROCCO</v>
          </cell>
          <cell r="H2415">
            <v>6</v>
          </cell>
        </row>
        <row r="2416">
          <cell r="B2416" t="str">
            <v>43190MXN</v>
          </cell>
          <cell r="C2416" t="str">
            <v>43190MEXICO</v>
          </cell>
          <cell r="D2416" t="str">
            <v>MXN</v>
          </cell>
          <cell r="E2416">
            <v>5.5472396560453587</v>
          </cell>
          <cell r="F2416">
            <v>4.0517500000000002</v>
          </cell>
          <cell r="G2416" t="str">
            <v>MEXICO</v>
          </cell>
          <cell r="H2416">
            <v>7</v>
          </cell>
        </row>
        <row r="2417">
          <cell r="B2417" t="str">
            <v>43190MYR</v>
          </cell>
          <cell r="C2417" t="str">
            <v>43190MALAYSIA</v>
          </cell>
          <cell r="D2417" t="str">
            <v>MYR</v>
          </cell>
          <cell r="E2417">
            <v>4.823345829513296</v>
          </cell>
          <cell r="F2417">
            <v>2.9775</v>
          </cell>
          <cell r="G2417" t="str">
            <v>MALAYSIA</v>
          </cell>
          <cell r="H2417">
            <v>5</v>
          </cell>
        </row>
        <row r="2418">
          <cell r="B2418" t="str">
            <v>43190NGN</v>
          </cell>
          <cell r="C2418" t="str">
            <v>43190NIGERIA</v>
          </cell>
          <cell r="D2418" t="str">
            <v>NGN</v>
          </cell>
          <cell r="E2418">
            <v>16.648723451339723</v>
          </cell>
          <cell r="F2418">
            <v>14.214250000000002</v>
          </cell>
          <cell r="G2418" t="str">
            <v>NIGERIA</v>
          </cell>
          <cell r="H2418">
            <v>6</v>
          </cell>
        </row>
        <row r="2419">
          <cell r="B2419" t="str">
            <v>43190NOK</v>
          </cell>
          <cell r="C2419" t="str">
            <v>43190NORWAY</v>
          </cell>
          <cell r="D2419" t="str">
            <v>NOK</v>
          </cell>
          <cell r="E2419">
            <v>4.2299921522459796</v>
          </cell>
          <cell r="F2419">
            <v>1.9249999999999998</v>
          </cell>
          <cell r="G2419" t="str">
            <v>NORWAY</v>
          </cell>
          <cell r="H2419">
            <v>4</v>
          </cell>
        </row>
        <row r="2420">
          <cell r="B2420" t="str">
            <v>43190NZD</v>
          </cell>
          <cell r="C2420" t="str">
            <v>43190NEW ZEALAND</v>
          </cell>
          <cell r="D2420" t="str">
            <v>NZD</v>
          </cell>
          <cell r="E2420">
            <v>4.2091151889093217</v>
          </cell>
          <cell r="F2420">
            <v>1.7867500000000001</v>
          </cell>
          <cell r="G2420" t="str">
            <v>NEW ZEALAND</v>
          </cell>
          <cell r="H2420">
            <v>4</v>
          </cell>
        </row>
        <row r="2421">
          <cell r="B2421" t="str">
            <v>43190OMR</v>
          </cell>
          <cell r="C2421" t="str">
            <v>43190OMAN</v>
          </cell>
          <cell r="D2421" t="str">
            <v>OMR</v>
          </cell>
          <cell r="E2421">
            <v>5.3094832395648419</v>
          </cell>
          <cell r="F2421">
            <v>2.75</v>
          </cell>
          <cell r="G2421" t="str">
            <v>OMAN</v>
          </cell>
          <cell r="H2421">
            <v>6</v>
          </cell>
        </row>
        <row r="2422">
          <cell r="B2422" t="str">
            <v>43190PEN</v>
          </cell>
          <cell r="C2422" t="str">
            <v>43190PERU</v>
          </cell>
          <cell r="D2422" t="str">
            <v>PEN</v>
          </cell>
          <cell r="E2422">
            <v>4.1468520592144156</v>
          </cell>
          <cell r="F2422">
            <v>1.6559999999999999</v>
          </cell>
          <cell r="G2422" t="str">
            <v>PERU</v>
          </cell>
          <cell r="H2422">
            <v>5</v>
          </cell>
        </row>
        <row r="2423">
          <cell r="B2423" t="str">
            <v>43190PGK</v>
          </cell>
          <cell r="C2423" t="str">
            <v>43190PAPUA NEW GUINEA</v>
          </cell>
          <cell r="D2423" t="str">
            <v>PGK</v>
          </cell>
          <cell r="E2423">
            <v>4.7740010762102028</v>
          </cell>
          <cell r="F2423">
            <v>2.81575</v>
          </cell>
          <cell r="G2423" t="str">
            <v>PAPUA NEW GUINEA</v>
          </cell>
          <cell r="H2423">
            <v>6</v>
          </cell>
        </row>
        <row r="2424">
          <cell r="B2424" t="str">
            <v>43190PHP</v>
          </cell>
          <cell r="C2424" t="str">
            <v>43190PHILIPPINES</v>
          </cell>
          <cell r="D2424" t="str">
            <v>PHP</v>
          </cell>
          <cell r="E2424">
            <v>5.7348373287454049</v>
          </cell>
          <cell r="F2424">
            <v>4.0842499999999999</v>
          </cell>
          <cell r="G2424" t="str">
            <v>PHILIPPINES</v>
          </cell>
          <cell r="H2424">
            <v>5</v>
          </cell>
        </row>
        <row r="2425">
          <cell r="B2425" t="str">
            <v>43190PKR</v>
          </cell>
          <cell r="C2425" t="str">
            <v>43190PAKISTAN</v>
          </cell>
          <cell r="D2425" t="str">
            <v>PKR</v>
          </cell>
          <cell r="E2425">
            <v>7.29017488306856</v>
          </cell>
          <cell r="F2425">
            <v>5.0582500000000001</v>
          </cell>
          <cell r="G2425" t="str">
            <v>PAKISTAN</v>
          </cell>
          <cell r="H2425">
            <v>6</v>
          </cell>
        </row>
        <row r="2426">
          <cell r="B2426" t="str">
            <v>43190PLN</v>
          </cell>
          <cell r="C2426" t="str">
            <v>43190POLAND</v>
          </cell>
          <cell r="D2426" t="str">
            <v>PLN</v>
          </cell>
          <cell r="E2426">
            <v>4.763798302072745</v>
          </cell>
          <cell r="F2426">
            <v>2.5282499999999999</v>
          </cell>
          <cell r="G2426" t="str">
            <v>POLAND</v>
          </cell>
          <cell r="H2426">
            <v>4.5</v>
          </cell>
        </row>
        <row r="2427">
          <cell r="B2427" t="str">
            <v>43190QAR</v>
          </cell>
          <cell r="C2427" t="str">
            <v>43190QATAR</v>
          </cell>
          <cell r="D2427" t="str">
            <v>QAR</v>
          </cell>
          <cell r="E2427">
            <v>4.9382852669234847</v>
          </cell>
          <cell r="F2427">
            <v>3.7962499999999997</v>
          </cell>
          <cell r="G2427" t="str">
            <v>QATAR</v>
          </cell>
          <cell r="H2427">
            <v>6</v>
          </cell>
        </row>
        <row r="2428">
          <cell r="B2428" t="str">
            <v>43190RON</v>
          </cell>
          <cell r="C2428" t="str">
            <v>43190ROMANIA</v>
          </cell>
          <cell r="D2428" t="str">
            <v>RON</v>
          </cell>
          <cell r="E2428">
            <v>5.6525231320469196</v>
          </cell>
          <cell r="F2428">
            <v>4.2589999999999995</v>
          </cell>
          <cell r="G2428" t="str">
            <v>ROMANIA</v>
          </cell>
          <cell r="H2428">
            <v>6</v>
          </cell>
        </row>
        <row r="2429">
          <cell r="B2429" t="str">
            <v>43190RUB</v>
          </cell>
          <cell r="C2429" t="str">
            <v>43190RUSSIAN FEDERATION</v>
          </cell>
          <cell r="D2429" t="str">
            <v>RUB</v>
          </cell>
          <cell r="E2429">
            <v>5.9488620798836358</v>
          </cell>
          <cell r="F2429">
            <v>3</v>
          </cell>
          <cell r="G2429" t="str">
            <v>RUSSIAN FEDERATION</v>
          </cell>
          <cell r="H2429">
            <v>8</v>
          </cell>
        </row>
        <row r="2430">
          <cell r="B2430" t="str">
            <v>43190SAR</v>
          </cell>
          <cell r="C2430" t="str">
            <v>43190SAUDI ARABIA</v>
          </cell>
          <cell r="D2430" t="str">
            <v>SAR</v>
          </cell>
          <cell r="E2430">
            <v>4.703978976525506</v>
          </cell>
          <cell r="F2430">
            <v>3.3047500000000003</v>
          </cell>
          <cell r="G2430" t="str">
            <v>SAUDI ARABIA</v>
          </cell>
          <cell r="H2430">
            <v>5</v>
          </cell>
        </row>
        <row r="2431">
          <cell r="B2431" t="str">
            <v>43190SEK</v>
          </cell>
          <cell r="C2431" t="str">
            <v>43190SWEDEN</v>
          </cell>
          <cell r="D2431" t="str">
            <v>SEK</v>
          </cell>
          <cell r="E2431">
            <v>4.0598076330788748</v>
          </cell>
          <cell r="F2431">
            <v>1.55</v>
          </cell>
          <cell r="G2431" t="str">
            <v>SWEDEN</v>
          </cell>
          <cell r="H2431">
            <v>4</v>
          </cell>
        </row>
        <row r="2432">
          <cell r="B2432" t="str">
            <v>43190SGD</v>
          </cell>
          <cell r="C2432" t="str">
            <v>43190SINGAPORE</v>
          </cell>
          <cell r="D2432" t="str">
            <v>SGD</v>
          </cell>
          <cell r="E2432">
            <v>3.312166572992651</v>
          </cell>
          <cell r="F2432">
            <v>1.1585000000000001</v>
          </cell>
          <cell r="G2432" t="str">
            <v>SINGAPORE</v>
          </cell>
          <cell r="H2432">
            <v>4</v>
          </cell>
        </row>
        <row r="2433">
          <cell r="B2433" t="str">
            <v>43190TZS</v>
          </cell>
          <cell r="C2433" t="str">
            <v>43190TANZANIA, UNITED REPUBLIC OF</v>
          </cell>
          <cell r="D2433" t="str">
            <v>TZS</v>
          </cell>
          <cell r="E2433">
            <v>7.2179804773861358</v>
          </cell>
          <cell r="F2433">
            <v>4.8800000000000008</v>
          </cell>
          <cell r="G2433" t="str">
            <v>TANZANIA, UNITED REPUBLIC OF</v>
          </cell>
          <cell r="H2433">
            <v>6</v>
          </cell>
        </row>
        <row r="2434">
          <cell r="B2434" t="str">
            <v>43190THB</v>
          </cell>
          <cell r="C2434" t="str">
            <v>43190THAILAND</v>
          </cell>
          <cell r="D2434" t="str">
            <v>THB</v>
          </cell>
          <cell r="E2434">
            <v>3.5240979583869994</v>
          </cell>
          <cell r="F2434">
            <v>1.2224999999999999</v>
          </cell>
          <cell r="G2434" t="str">
            <v>THAILAND</v>
          </cell>
          <cell r="H2434">
            <v>5</v>
          </cell>
        </row>
        <row r="2435">
          <cell r="B2435" t="str">
            <v>43190TRY</v>
          </cell>
          <cell r="C2435" t="str">
            <v>43190TURKEY</v>
          </cell>
          <cell r="D2435" t="str">
            <v>TRY</v>
          </cell>
          <cell r="E2435">
            <v>11.622346827687995</v>
          </cell>
          <cell r="F2435">
            <v>11.173</v>
          </cell>
          <cell r="G2435" t="str">
            <v>TURKEY</v>
          </cell>
          <cell r="H2435">
            <v>6</v>
          </cell>
        </row>
        <row r="2436">
          <cell r="B2436" t="str">
            <v>43190TWD</v>
          </cell>
          <cell r="C2436" t="str">
            <v>43190TAIWAN</v>
          </cell>
          <cell r="D2436" t="str">
            <v>TWD</v>
          </cell>
          <cell r="E2436">
            <v>3.9694214099952365</v>
          </cell>
          <cell r="F2436">
            <v>1.3</v>
          </cell>
          <cell r="G2436" t="str">
            <v>TAIWAN</v>
          </cell>
          <cell r="H2436">
            <v>5</v>
          </cell>
        </row>
        <row r="2437">
          <cell r="B2437" t="str">
            <v>43190UAH</v>
          </cell>
          <cell r="C2437" t="str">
            <v>43190UKRAINE</v>
          </cell>
          <cell r="D2437" t="str">
            <v>UAH</v>
          </cell>
          <cell r="E2437">
            <v>9.4308843600138506</v>
          </cell>
          <cell r="F2437">
            <v>10.266000000000002</v>
          </cell>
          <cell r="G2437" t="str">
            <v>UKRAINE</v>
          </cell>
          <cell r="H2437">
            <v>6</v>
          </cell>
        </row>
        <row r="2438">
          <cell r="B2438" t="str">
            <v>43190USD</v>
          </cell>
          <cell r="C2438" t="str">
            <v>43190UNITED STATES</v>
          </cell>
          <cell r="D2438" t="str">
            <v>USD</v>
          </cell>
          <cell r="E2438">
            <v>4.4933926525857961</v>
          </cell>
          <cell r="F2438">
            <v>2.5170000000000003</v>
          </cell>
          <cell r="G2438" t="str">
            <v>UNITED STATES</v>
          </cell>
          <cell r="H2438">
            <v>4</v>
          </cell>
        </row>
        <row r="2439">
          <cell r="B2439" t="str">
            <v>43190VND</v>
          </cell>
          <cell r="C2439" t="str">
            <v>43190VIET NAM</v>
          </cell>
          <cell r="D2439" t="str">
            <v>VND</v>
          </cell>
          <cell r="E2439">
            <v>6.2099691952184157</v>
          </cell>
          <cell r="F2439">
            <v>3.8499999999999996</v>
          </cell>
          <cell r="G2439" t="str">
            <v>VIET NAM</v>
          </cell>
          <cell r="H2439">
            <v>6</v>
          </cell>
        </row>
        <row r="2440">
          <cell r="B2440" t="str">
            <v>43190XOF</v>
          </cell>
          <cell r="C2440" t="str">
            <v>43190MALI</v>
          </cell>
          <cell r="D2440" t="str">
            <v>XOF</v>
          </cell>
          <cell r="E2440">
            <v>4.0833610505822939</v>
          </cell>
          <cell r="F2440">
            <v>1.4375</v>
          </cell>
          <cell r="G2440" t="str">
            <v>MALI</v>
          </cell>
          <cell r="H2440">
            <v>6</v>
          </cell>
        </row>
        <row r="2441">
          <cell r="B2441" t="str">
            <v>43190ZAR</v>
          </cell>
          <cell r="C2441" t="str">
            <v>43190SOUTH AFRICA</v>
          </cell>
          <cell r="D2441" t="str">
            <v>ZAR</v>
          </cell>
          <cell r="E2441">
            <v>7.6571510417374791</v>
          </cell>
          <cell r="F2441">
            <v>5.2722500000000005</v>
          </cell>
          <cell r="G2441" t="str">
            <v>SOUTH AFRICA</v>
          </cell>
          <cell r="H2441">
            <v>5</v>
          </cell>
        </row>
        <row r="2442">
          <cell r="B2442" t="str">
            <v>43190ZMW</v>
          </cell>
          <cell r="C2442" t="str">
            <v>43190ZAMBIA</v>
          </cell>
          <cell r="D2442" t="str">
            <v>ZMW</v>
          </cell>
          <cell r="E2442">
            <v>10.298556318956157</v>
          </cell>
          <cell r="F2442">
            <v>8.1822499999999998</v>
          </cell>
          <cell r="G2442" t="str">
            <v>ZAMBIA</v>
          </cell>
          <cell r="H2442">
            <v>6</v>
          </cell>
        </row>
        <row r="2443">
          <cell r="B2443" t="str">
            <v>43190EUR1</v>
          </cell>
          <cell r="C2443" t="str">
            <v>43190BELGIUM</v>
          </cell>
          <cell r="D2443" t="str">
            <v>EUR1</v>
          </cell>
          <cell r="E2443">
            <v>4.0533982923157721</v>
          </cell>
          <cell r="G2443" t="str">
            <v>BELGIUM</v>
          </cell>
          <cell r="H2443">
            <v>4</v>
          </cell>
        </row>
        <row r="2444">
          <cell r="B2444" t="str">
            <v>43190EUR2</v>
          </cell>
          <cell r="C2444" t="str">
            <v>43190CYPRUS</v>
          </cell>
          <cell r="D2444" t="str">
            <v>EUR2</v>
          </cell>
          <cell r="E2444">
            <v>4.0533982923157721</v>
          </cell>
          <cell r="G2444" t="str">
            <v>CYPRUS</v>
          </cell>
          <cell r="H2444">
            <v>5</v>
          </cell>
        </row>
        <row r="2445">
          <cell r="B2445" t="str">
            <v>43190EUR3</v>
          </cell>
          <cell r="C2445" t="str">
            <v>43190ESTONIA</v>
          </cell>
          <cell r="D2445" t="str">
            <v>EUR3</v>
          </cell>
          <cell r="E2445">
            <v>4.0533982923157721</v>
          </cell>
          <cell r="G2445" t="str">
            <v>ESTONIA</v>
          </cell>
          <cell r="H2445">
            <v>6</v>
          </cell>
        </row>
        <row r="2446">
          <cell r="B2446" t="str">
            <v>43190EUR4</v>
          </cell>
          <cell r="C2446" t="str">
            <v>43190FINLAND</v>
          </cell>
          <cell r="D2446" t="str">
            <v>EUR4</v>
          </cell>
          <cell r="E2446">
            <v>4.0533982923157721</v>
          </cell>
          <cell r="G2446" t="str">
            <v>FINLAND</v>
          </cell>
          <cell r="H2446">
            <v>4</v>
          </cell>
        </row>
        <row r="2447">
          <cell r="B2447" t="str">
            <v>43190EUR5</v>
          </cell>
          <cell r="C2447" t="str">
            <v>43190FRANCE</v>
          </cell>
          <cell r="D2447" t="str">
            <v>EUR5</v>
          </cell>
          <cell r="E2447">
            <v>4.0533982923157721</v>
          </cell>
          <cell r="G2447" t="str">
            <v>FRANCE</v>
          </cell>
          <cell r="H2447">
            <v>4</v>
          </cell>
        </row>
        <row r="2448">
          <cell r="B2448" t="str">
            <v>43190EUR6</v>
          </cell>
          <cell r="C2448" t="str">
            <v>43190GERMANY</v>
          </cell>
          <cell r="D2448" t="str">
            <v>EUR6</v>
          </cell>
          <cell r="E2448">
            <v>4.0533982923157721</v>
          </cell>
          <cell r="G2448" t="str">
            <v>GERMANY</v>
          </cell>
          <cell r="H2448">
            <v>4.2822739845530942</v>
          </cell>
        </row>
        <row r="2449">
          <cell r="B2449" t="str">
            <v>43190EUR7</v>
          </cell>
          <cell r="C2449" t="str">
            <v>43190GREECE</v>
          </cell>
          <cell r="D2449" t="str">
            <v>EUR7</v>
          </cell>
          <cell r="E2449">
            <v>4.0533982923157721</v>
          </cell>
          <cell r="G2449" t="str">
            <v>GREECE</v>
          </cell>
          <cell r="H2449">
            <v>7</v>
          </cell>
        </row>
        <row r="2450">
          <cell r="B2450" t="str">
            <v>43190EUR8</v>
          </cell>
          <cell r="C2450" t="str">
            <v>43190IRELAND</v>
          </cell>
          <cell r="D2450" t="str">
            <v>EUR8</v>
          </cell>
          <cell r="E2450">
            <v>4.0533982923157721</v>
          </cell>
          <cell r="G2450" t="str">
            <v>IRELAND</v>
          </cell>
          <cell r="H2450">
            <v>4</v>
          </cell>
        </row>
        <row r="2451">
          <cell r="B2451" t="str">
            <v>43190EUR9</v>
          </cell>
          <cell r="C2451" t="str">
            <v>43190ITALY</v>
          </cell>
          <cell r="D2451" t="str">
            <v>EUR9</v>
          </cell>
          <cell r="E2451">
            <v>4.0533982923157721</v>
          </cell>
          <cell r="G2451" t="str">
            <v>ITALY</v>
          </cell>
          <cell r="H2451">
            <v>4</v>
          </cell>
        </row>
        <row r="2452">
          <cell r="B2452" t="str">
            <v>43190EUR10</v>
          </cell>
          <cell r="C2452" t="str">
            <v>43190LATVIA</v>
          </cell>
          <cell r="D2452" t="str">
            <v>EUR10</v>
          </cell>
          <cell r="E2452">
            <v>4.0533982923157721</v>
          </cell>
          <cell r="G2452" t="str">
            <v>LATVIA</v>
          </cell>
          <cell r="H2452">
            <v>6</v>
          </cell>
        </row>
        <row r="2453">
          <cell r="B2453" t="str">
            <v>43190EUR11</v>
          </cell>
          <cell r="C2453" t="str">
            <v>43190LUXEMBOURG</v>
          </cell>
          <cell r="D2453" t="str">
            <v>EUR11</v>
          </cell>
          <cell r="E2453">
            <v>4.0533982923157721</v>
          </cell>
          <cell r="G2453" t="str">
            <v>LUXEMBOURG</v>
          </cell>
          <cell r="H2453">
            <v>4</v>
          </cell>
        </row>
        <row r="2454">
          <cell r="B2454" t="str">
            <v>43190EUR12</v>
          </cell>
          <cell r="C2454" t="str">
            <v>43190MALTA</v>
          </cell>
          <cell r="D2454" t="str">
            <v>EUR12</v>
          </cell>
          <cell r="E2454">
            <v>4.0533982923157721</v>
          </cell>
          <cell r="G2454" t="str">
            <v>MALTA</v>
          </cell>
          <cell r="H2454">
            <v>4</v>
          </cell>
        </row>
        <row r="2455">
          <cell r="B2455" t="str">
            <v>43190EUR13</v>
          </cell>
          <cell r="C2455" t="str">
            <v>43190MONTENEGRO</v>
          </cell>
          <cell r="D2455" t="str">
            <v>EUR13</v>
          </cell>
          <cell r="E2455">
            <v>4.0533982923157721</v>
          </cell>
          <cell r="G2455" t="str">
            <v>MONTENEGRO</v>
          </cell>
          <cell r="H2455">
            <v>6</v>
          </cell>
        </row>
        <row r="2456">
          <cell r="B2456" t="str">
            <v>43190EUR14</v>
          </cell>
          <cell r="C2456" t="str">
            <v>43190NETHERLANDS</v>
          </cell>
          <cell r="D2456" t="str">
            <v>EUR14</v>
          </cell>
          <cell r="E2456">
            <v>4.0533982923157721</v>
          </cell>
          <cell r="G2456" t="str">
            <v>NETHERLANDS</v>
          </cell>
          <cell r="H2456">
            <v>4</v>
          </cell>
        </row>
        <row r="2457">
          <cell r="B2457" t="str">
            <v>43190EUR15</v>
          </cell>
          <cell r="C2457" t="str">
            <v>43190PORTUGAL</v>
          </cell>
          <cell r="D2457" t="str">
            <v>EUR15</v>
          </cell>
          <cell r="E2457">
            <v>4.0533982923157721</v>
          </cell>
          <cell r="G2457" t="str">
            <v>PORTUGAL</v>
          </cell>
          <cell r="H2457">
            <v>4</v>
          </cell>
        </row>
        <row r="2458">
          <cell r="B2458" t="str">
            <v>43190EUR16</v>
          </cell>
          <cell r="C2458" t="str">
            <v>43190SLOVAKIA</v>
          </cell>
          <cell r="D2458" t="str">
            <v>EUR16</v>
          </cell>
          <cell r="E2458">
            <v>4.0533982923157721</v>
          </cell>
          <cell r="G2458" t="str">
            <v>SLOVAKIA</v>
          </cell>
          <cell r="H2458">
            <v>5</v>
          </cell>
        </row>
        <row r="2459">
          <cell r="B2459" t="str">
            <v>43190EUR17</v>
          </cell>
          <cell r="C2459" t="str">
            <v>43190SLOVENIA</v>
          </cell>
          <cell r="D2459" t="str">
            <v>EUR17</v>
          </cell>
          <cell r="E2459">
            <v>4.0533982923157721</v>
          </cell>
          <cell r="G2459" t="str">
            <v>SLOVENIA</v>
          </cell>
          <cell r="H2459">
            <v>6</v>
          </cell>
        </row>
        <row r="2460">
          <cell r="B2460" t="str">
            <v>43190EUR18</v>
          </cell>
          <cell r="C2460" t="str">
            <v>43190SPAIN</v>
          </cell>
          <cell r="D2460" t="str">
            <v>EUR18</v>
          </cell>
          <cell r="E2460">
            <v>4.0533982923157721</v>
          </cell>
          <cell r="G2460" t="str">
            <v>SPAIN</v>
          </cell>
          <cell r="H2460">
            <v>4</v>
          </cell>
        </row>
        <row r="2461">
          <cell r="B2461" t="str">
            <v>43190Eastern European Institutions</v>
          </cell>
          <cell r="C2461" t="str">
            <v>43190Eastern European Institutions</v>
          </cell>
          <cell r="D2461" t="str">
            <v>Eastern European Institutions</v>
          </cell>
          <cell r="E2461">
            <v>0</v>
          </cell>
          <cell r="G2461" t="str">
            <v>Eastern European Institutions</v>
          </cell>
          <cell r="H2461">
            <v>5</v>
          </cell>
        </row>
        <row r="2462">
          <cell r="B2462" t="str">
            <v>43220AED</v>
          </cell>
          <cell r="C2462" t="str">
            <v>43220U. A. E.</v>
          </cell>
          <cell r="D2462" t="str">
            <v>AED</v>
          </cell>
          <cell r="E2462">
            <v>4.9765622077347951</v>
          </cell>
          <cell r="F2462">
            <v>3.6126666666666667</v>
          </cell>
          <cell r="G2462" t="str">
            <v>U. A. E.</v>
          </cell>
          <cell r="H2462">
            <v>5</v>
          </cell>
        </row>
        <row r="2463">
          <cell r="B2463" t="str">
            <v>43220ARS</v>
          </cell>
          <cell r="C2463" t="str">
            <v>43220ARGENTINA</v>
          </cell>
          <cell r="D2463" t="str">
            <v>ARS</v>
          </cell>
          <cell r="E2463">
            <v>16.1758774448334</v>
          </cell>
          <cell r="F2463">
            <v>20.259333333333334</v>
          </cell>
          <cell r="G2463" t="str">
            <v>ARGENTINA</v>
          </cell>
          <cell r="H2463">
            <v>6</v>
          </cell>
        </row>
        <row r="2464">
          <cell r="B2464" t="str">
            <v>43220AUD</v>
          </cell>
          <cell r="C2464" t="str">
            <v>43220AUSTRALIA</v>
          </cell>
          <cell r="D2464" t="str">
            <v>AUD</v>
          </cell>
          <cell r="E2464">
            <v>4.6859358608191828</v>
          </cell>
          <cell r="F2464">
            <v>2.2836666666666665</v>
          </cell>
          <cell r="G2464" t="str">
            <v>AUSTRALIA</v>
          </cell>
          <cell r="H2464">
            <v>3.3639078507616462</v>
          </cell>
        </row>
        <row r="2465">
          <cell r="B2465" t="str">
            <v>43220BDT</v>
          </cell>
          <cell r="C2465" t="str">
            <v>43220BANGLADESH</v>
          </cell>
          <cell r="D2465" t="str">
            <v>BDT</v>
          </cell>
          <cell r="E2465">
            <v>8.1038783987598606</v>
          </cell>
          <cell r="F2465">
            <v>5.9783333333333335</v>
          </cell>
          <cell r="G2465" t="str">
            <v>BANGLADESH</v>
          </cell>
          <cell r="H2465">
            <v>6</v>
          </cell>
        </row>
        <row r="2466">
          <cell r="B2466" t="str">
            <v>43220BRL</v>
          </cell>
          <cell r="C2466" t="str">
            <v>43220BRAZIL</v>
          </cell>
          <cell r="D2466" t="str">
            <v>BRL</v>
          </cell>
          <cell r="E2466">
            <v>6.2520890993651248</v>
          </cell>
          <cell r="F2466">
            <v>3.7286666666666664</v>
          </cell>
          <cell r="G2466" t="str">
            <v>BRAZIL</v>
          </cell>
          <cell r="H2466">
            <v>7</v>
          </cell>
        </row>
        <row r="2467">
          <cell r="B2467" t="str">
            <v>43220BWP</v>
          </cell>
          <cell r="C2467" t="str">
            <v>43220BOTSWANA</v>
          </cell>
          <cell r="D2467" t="str">
            <v>BWP</v>
          </cell>
          <cell r="E2467">
            <v>6.0999614689788242</v>
          </cell>
          <cell r="F2467">
            <v>3.7333333333333334</v>
          </cell>
          <cell r="G2467" t="str">
            <v>BOTSWANA</v>
          </cell>
          <cell r="H2467">
            <v>6</v>
          </cell>
        </row>
        <row r="2468">
          <cell r="B2468" t="str">
            <v>43220CAD</v>
          </cell>
          <cell r="C2468" t="str">
            <v>43220CANADA</v>
          </cell>
          <cell r="D2468" t="str">
            <v>CAD</v>
          </cell>
          <cell r="E2468">
            <v>4.3629928217084926</v>
          </cell>
          <cell r="F2468">
            <v>2.1546666666666665</v>
          </cell>
          <cell r="G2468" t="str">
            <v>CANADA</v>
          </cell>
          <cell r="H2468">
            <v>4</v>
          </cell>
        </row>
        <row r="2469">
          <cell r="B2469" t="str">
            <v>43220CHF</v>
          </cell>
          <cell r="C2469" t="str">
            <v>43220SWITZERLAND</v>
          </cell>
          <cell r="D2469" t="str">
            <v>CHF</v>
          </cell>
          <cell r="E2469">
            <v>3.1813212363103895</v>
          </cell>
          <cell r="F2469">
            <v>0.78666666666666663</v>
          </cell>
          <cell r="G2469" t="str">
            <v>SWITZERLAND</v>
          </cell>
          <cell r="H2469">
            <v>4</v>
          </cell>
        </row>
        <row r="2470">
          <cell r="B2470" t="str">
            <v>43220CLP</v>
          </cell>
          <cell r="C2470" t="str">
            <v>43220CHILE</v>
          </cell>
          <cell r="D2470" t="str">
            <v>CLP</v>
          </cell>
          <cell r="E2470">
            <v>5.1771119987088534</v>
          </cell>
          <cell r="F2470">
            <v>2.6436666666666664</v>
          </cell>
          <cell r="G2470" t="str">
            <v>CHILE</v>
          </cell>
          <cell r="H2470">
            <v>5</v>
          </cell>
        </row>
        <row r="2471">
          <cell r="B2471" t="str">
            <v>43220CNY</v>
          </cell>
          <cell r="C2471" t="str">
            <v>43220CHINA</v>
          </cell>
          <cell r="D2471" t="str">
            <v>CNY</v>
          </cell>
          <cell r="E2471">
            <v>4.9349212201139894</v>
          </cell>
          <cell r="F2471">
            <v>2.5256666666666669</v>
          </cell>
          <cell r="G2471" t="str">
            <v>CHINA</v>
          </cell>
          <cell r="H2471">
            <v>5</v>
          </cell>
        </row>
        <row r="2472">
          <cell r="B2472" t="str">
            <v>43220COP</v>
          </cell>
          <cell r="C2472" t="str">
            <v>43220COLOMBIA</v>
          </cell>
          <cell r="D2472" t="str">
            <v>COP</v>
          </cell>
          <cell r="E2472">
            <v>5.4483824603649014</v>
          </cell>
          <cell r="F2472">
            <v>3.4626666666666672</v>
          </cell>
          <cell r="G2472" t="str">
            <v>COLOMBIA</v>
          </cell>
          <cell r="H2472">
            <v>5</v>
          </cell>
        </row>
        <row r="2473">
          <cell r="B2473" t="str">
            <v>43220CZK</v>
          </cell>
          <cell r="C2473" t="str">
            <v>43220CZECH REPUBLIC</v>
          </cell>
          <cell r="D2473" t="str">
            <v>CZK</v>
          </cell>
          <cell r="E2473">
            <v>4.3147178224534324</v>
          </cell>
          <cell r="F2473">
            <v>2.2159999999999997</v>
          </cell>
          <cell r="G2473" t="str">
            <v>CZECH REPUBLIC</v>
          </cell>
          <cell r="H2473">
            <v>5</v>
          </cell>
        </row>
        <row r="2474">
          <cell r="B2474" t="str">
            <v>43220DKK</v>
          </cell>
          <cell r="C2474" t="str">
            <v>43220DENMARK</v>
          </cell>
          <cell r="D2474" t="str">
            <v>DKK</v>
          </cell>
          <cell r="E2474">
            <v>4.0697167716395457</v>
          </cell>
          <cell r="F2474">
            <v>1.5</v>
          </cell>
          <cell r="G2474" t="str">
            <v>DENMARK</v>
          </cell>
          <cell r="H2474">
            <v>4</v>
          </cell>
        </row>
        <row r="2475">
          <cell r="B2475" t="str">
            <v>43220EGP</v>
          </cell>
          <cell r="C2475" t="str">
            <v>43220EGYPT</v>
          </cell>
          <cell r="D2475" t="str">
            <v>EGP</v>
          </cell>
          <cell r="E2475">
            <v>13.639206522608086</v>
          </cell>
          <cell r="F2475">
            <v>17.718</v>
          </cell>
          <cell r="G2475" t="str">
            <v>EGYPT</v>
          </cell>
          <cell r="H2475">
            <v>5</v>
          </cell>
        </row>
        <row r="2476">
          <cell r="B2476" t="str">
            <v>43220EUR</v>
          </cell>
          <cell r="C2476" t="str">
            <v>43220AUSTRIA</v>
          </cell>
          <cell r="D2476" t="str">
            <v>EUR</v>
          </cell>
          <cell r="E2476">
            <v>4.0533982923157721</v>
          </cell>
          <cell r="F2476">
            <v>2.1866666666666665</v>
          </cell>
          <cell r="G2476" t="str">
            <v>AUSTRIA</v>
          </cell>
          <cell r="H2476">
            <v>4</v>
          </cell>
        </row>
        <row r="2477">
          <cell r="B2477" t="str">
            <v>43220GBP</v>
          </cell>
          <cell r="C2477" t="str">
            <v>43220UNITED KINGDOM</v>
          </cell>
          <cell r="D2477" t="str">
            <v>GBP</v>
          </cell>
          <cell r="E2477">
            <v>4.4019417394370022</v>
          </cell>
          <cell r="F2477">
            <v>2.5489999999999999</v>
          </cell>
          <cell r="G2477" t="str">
            <v>UNITED KINGDOM</v>
          </cell>
          <cell r="H2477">
            <v>4</v>
          </cell>
        </row>
        <row r="2478">
          <cell r="B2478" t="str">
            <v>43220GEL</v>
          </cell>
          <cell r="C2478" t="str">
            <v>43220GEORGIA</v>
          </cell>
          <cell r="D2478" t="str">
            <v>GEL</v>
          </cell>
          <cell r="E2478">
            <v>5.3749190213799682</v>
          </cell>
          <cell r="F2478">
            <v>3.4110000000000005</v>
          </cell>
          <cell r="G2478" t="str">
            <v>GEORGIA</v>
          </cell>
          <cell r="H2478">
            <v>6</v>
          </cell>
        </row>
        <row r="2479">
          <cell r="B2479" t="str">
            <v>43220HKD</v>
          </cell>
          <cell r="C2479" t="str">
            <v>43220HONG KONG</v>
          </cell>
          <cell r="D2479" t="str">
            <v>HKD</v>
          </cell>
          <cell r="E2479">
            <v>4.549843711580829</v>
          </cell>
          <cell r="F2479">
            <v>2.166666666666667</v>
          </cell>
          <cell r="G2479" t="str">
            <v>HONG KONG</v>
          </cell>
          <cell r="H2479">
            <v>4</v>
          </cell>
        </row>
        <row r="2480">
          <cell r="B2480" t="str">
            <v>43220GHS</v>
          </cell>
          <cell r="C2480" t="str">
            <v>43220GHANA</v>
          </cell>
          <cell r="D2480" t="str">
            <v>GHS</v>
          </cell>
          <cell r="E2480">
            <v>9.7914061284129872</v>
          </cell>
          <cell r="F2480">
            <v>8.4853333333333332</v>
          </cell>
          <cell r="G2480" t="str">
            <v>GHANA</v>
          </cell>
          <cell r="H2480">
            <v>6</v>
          </cell>
        </row>
        <row r="2481">
          <cell r="B2481" t="str">
            <v>43220HRK</v>
          </cell>
          <cell r="C2481" t="str">
            <v>43220CROATIA</v>
          </cell>
          <cell r="D2481" t="str">
            <v>HRK</v>
          </cell>
          <cell r="E2481">
            <v>3.86533022719893</v>
          </cell>
          <cell r="F2481">
            <v>1.4946666666666666</v>
          </cell>
          <cell r="G2481" t="str">
            <v>CROATIA</v>
          </cell>
          <cell r="H2481">
            <v>6</v>
          </cell>
        </row>
        <row r="2482">
          <cell r="B2482" t="str">
            <v>43220HUF</v>
          </cell>
          <cell r="C2482" t="str">
            <v>43220HUNGARY</v>
          </cell>
          <cell r="D2482" t="str">
            <v>HUF</v>
          </cell>
          <cell r="E2482">
            <v>5.2682170776554829</v>
          </cell>
          <cell r="F2482">
            <v>2.9123333333333337</v>
          </cell>
          <cell r="G2482" t="str">
            <v>HUNGARY</v>
          </cell>
          <cell r="H2482">
            <v>5</v>
          </cell>
        </row>
        <row r="2483">
          <cell r="B2483" t="str">
            <v>43220IDR</v>
          </cell>
          <cell r="C2483" t="str">
            <v>43220INDONESIA</v>
          </cell>
          <cell r="D2483" t="str">
            <v>IDR</v>
          </cell>
          <cell r="E2483">
            <v>5.6468905422355755</v>
          </cell>
          <cell r="F2483">
            <v>3.4829999999999997</v>
          </cell>
          <cell r="G2483" t="str">
            <v>INDONESIA</v>
          </cell>
          <cell r="H2483">
            <v>5</v>
          </cell>
        </row>
        <row r="2484">
          <cell r="B2484" t="str">
            <v>43220ILS</v>
          </cell>
          <cell r="C2484" t="str">
            <v>43220ISRAEL</v>
          </cell>
          <cell r="D2484" t="str">
            <v>ILS</v>
          </cell>
          <cell r="E2484">
            <v>3.812250819199229</v>
          </cell>
          <cell r="F2484">
            <v>0.92933333333333334</v>
          </cell>
          <cell r="G2484" t="str">
            <v>ISRAEL</v>
          </cell>
          <cell r="H2484">
            <v>4</v>
          </cell>
        </row>
        <row r="2485">
          <cell r="B2485" t="str">
            <v>43220INR</v>
          </cell>
          <cell r="C2485" t="str">
            <v>43220INDIA</v>
          </cell>
          <cell r="D2485" t="str">
            <v>INR</v>
          </cell>
          <cell r="E2485">
            <v>7.1267796879755743</v>
          </cell>
          <cell r="F2485">
            <v>4.9550000000000001</v>
          </cell>
          <cell r="G2485" t="str">
            <v>INDIA</v>
          </cell>
          <cell r="H2485">
            <v>5</v>
          </cell>
        </row>
        <row r="2486">
          <cell r="B2486" t="str">
            <v>43220IQD</v>
          </cell>
          <cell r="C2486" t="str">
            <v>43220IRAQ</v>
          </cell>
          <cell r="D2486" t="str">
            <v>IQD</v>
          </cell>
          <cell r="E2486">
            <v>4.2500000000000018</v>
          </cell>
          <cell r="F2486">
            <v>2</v>
          </cell>
          <cell r="G2486" t="str">
            <v>IRAQ</v>
          </cell>
          <cell r="H2486">
            <v>6</v>
          </cell>
        </row>
        <row r="2487">
          <cell r="B2487" t="str">
            <v>43220JPY</v>
          </cell>
          <cell r="C2487" t="str">
            <v>43220JAPAN</v>
          </cell>
          <cell r="D2487" t="str">
            <v>JPY</v>
          </cell>
          <cell r="E2487">
            <v>3.476161867078579</v>
          </cell>
          <cell r="F2487">
            <v>1.111</v>
          </cell>
          <cell r="G2487" t="str">
            <v>JAPAN</v>
          </cell>
          <cell r="H2487">
            <v>4</v>
          </cell>
        </row>
        <row r="2488">
          <cell r="B2488" t="str">
            <v>43220KES</v>
          </cell>
          <cell r="C2488" t="str">
            <v>43220KENYA</v>
          </cell>
          <cell r="D2488" t="str">
            <v>KES</v>
          </cell>
          <cell r="E2488">
            <v>7.2163828523647258</v>
          </cell>
          <cell r="F2488">
            <v>4.8930000000000007</v>
          </cell>
          <cell r="G2488" t="str">
            <v>KENYA</v>
          </cell>
          <cell r="H2488">
            <v>7.5</v>
          </cell>
        </row>
        <row r="2489">
          <cell r="B2489" t="str">
            <v>43220JOD</v>
          </cell>
          <cell r="C2489" t="str">
            <v>43220JORDAN</v>
          </cell>
          <cell r="D2489" t="str">
            <v>JOD</v>
          </cell>
          <cell r="E2489">
            <v>4.5363507664002247</v>
          </cell>
          <cell r="F2489">
            <v>1.7956666666666667</v>
          </cell>
          <cell r="G2489" t="str">
            <v>JORDAN</v>
          </cell>
          <cell r="H2489">
            <v>6</v>
          </cell>
        </row>
        <row r="2490">
          <cell r="B2490" t="str">
            <v>43220KHR</v>
          </cell>
          <cell r="C2490" t="str">
            <v>43220CAMBODIA</v>
          </cell>
          <cell r="D2490" t="str">
            <v>KHR</v>
          </cell>
          <cell r="E2490">
            <v>5.3931495883768257</v>
          </cell>
          <cell r="F2490">
            <v>3.2513333333333332</v>
          </cell>
          <cell r="G2490" t="str">
            <v>CAMBODIA</v>
          </cell>
          <cell r="H2490">
            <v>6</v>
          </cell>
        </row>
        <row r="2491">
          <cell r="B2491" t="str">
            <v>43220KRW</v>
          </cell>
          <cell r="C2491" t="str">
            <v>43220KOREA SOUTH(REPUBLIC OF KOREA)</v>
          </cell>
          <cell r="D2491" t="str">
            <v>KRW</v>
          </cell>
          <cell r="E2491">
            <v>4.1799442757868546</v>
          </cell>
          <cell r="F2491">
            <v>1.791666666666667</v>
          </cell>
          <cell r="G2491" t="str">
            <v>KOREA SOUTH(REPUBLIC OF KOREA)</v>
          </cell>
          <cell r="H2491">
            <v>5</v>
          </cell>
        </row>
        <row r="2492">
          <cell r="B2492" t="str">
            <v>43220KWD</v>
          </cell>
          <cell r="C2492" t="str">
            <v>43220KUWAIT</v>
          </cell>
          <cell r="D2492" t="str">
            <v>KWD</v>
          </cell>
          <cell r="E2492">
            <v>5.2691583576135494</v>
          </cell>
          <cell r="F2492">
            <v>2.9000000000000004</v>
          </cell>
          <cell r="G2492" t="str">
            <v>KUWAIT</v>
          </cell>
          <cell r="H2492">
            <v>6</v>
          </cell>
        </row>
        <row r="2493">
          <cell r="B2493" t="str">
            <v>43220LKR</v>
          </cell>
          <cell r="C2493" t="str">
            <v>43220SRI LANKA</v>
          </cell>
          <cell r="D2493" t="str">
            <v>LKR</v>
          </cell>
          <cell r="E2493">
            <v>7.0997856885606039</v>
          </cell>
          <cell r="F2493">
            <v>4.8159999999999998</v>
          </cell>
          <cell r="G2493" t="str">
            <v>SRI LANKA</v>
          </cell>
          <cell r="H2493">
            <v>6</v>
          </cell>
        </row>
        <row r="2494">
          <cell r="B2494" t="str">
            <v>43220KZT</v>
          </cell>
          <cell r="C2494" t="str">
            <v>43220KAZAKHSTAN</v>
          </cell>
          <cell r="D2494" t="str">
            <v>KZT</v>
          </cell>
          <cell r="E2494">
            <v>7.2005446867270875</v>
          </cell>
          <cell r="F2494">
            <v>6.1313333333333331</v>
          </cell>
          <cell r="G2494" t="str">
            <v>KAZAKHSTAN</v>
          </cell>
          <cell r="H2494">
            <v>6</v>
          </cell>
        </row>
        <row r="2495">
          <cell r="B2495" t="str">
            <v>43220MAD</v>
          </cell>
          <cell r="C2495" t="str">
            <v>43220MOROCCO</v>
          </cell>
          <cell r="D2495" t="str">
            <v>MAD</v>
          </cell>
          <cell r="E2495">
            <v>4.1297166463972115</v>
          </cell>
          <cell r="F2495">
            <v>1.5999999999999999</v>
          </cell>
          <cell r="G2495" t="str">
            <v>MOROCCO</v>
          </cell>
          <cell r="H2495">
            <v>6</v>
          </cell>
        </row>
        <row r="2496">
          <cell r="B2496" t="str">
            <v>43220MXN</v>
          </cell>
          <cell r="C2496" t="str">
            <v>43220MEXICO</v>
          </cell>
          <cell r="D2496" t="str">
            <v>MXN</v>
          </cell>
          <cell r="E2496">
            <v>5.5472396560453587</v>
          </cell>
          <cell r="F2496">
            <v>3.950333333333333</v>
          </cell>
          <cell r="G2496" t="str">
            <v>MEXICO</v>
          </cell>
          <cell r="H2496">
            <v>7</v>
          </cell>
        </row>
        <row r="2497">
          <cell r="B2497" t="str">
            <v>43220MYR</v>
          </cell>
          <cell r="C2497" t="str">
            <v>43220MALAYSIA</v>
          </cell>
          <cell r="D2497" t="str">
            <v>MYR</v>
          </cell>
          <cell r="E2497">
            <v>4.823345829513296</v>
          </cell>
          <cell r="F2497">
            <v>2.914333333333333</v>
          </cell>
          <cell r="G2497" t="str">
            <v>MALAYSIA</v>
          </cell>
          <cell r="H2497">
            <v>5</v>
          </cell>
        </row>
        <row r="2498">
          <cell r="B2498" t="str">
            <v>43220NGN</v>
          </cell>
          <cell r="C2498" t="str">
            <v>43220NIGERIA</v>
          </cell>
          <cell r="D2498" t="str">
            <v>NGN</v>
          </cell>
          <cell r="E2498">
            <v>16.648723451339723</v>
          </cell>
          <cell r="F2498">
            <v>14.279666666666667</v>
          </cell>
          <cell r="G2498" t="str">
            <v>NIGERIA</v>
          </cell>
          <cell r="H2498">
            <v>6</v>
          </cell>
        </row>
        <row r="2499">
          <cell r="B2499" t="str">
            <v>43220NOK</v>
          </cell>
          <cell r="C2499" t="str">
            <v>43220NORWAY</v>
          </cell>
          <cell r="D2499" t="str">
            <v>NOK</v>
          </cell>
          <cell r="E2499">
            <v>4.2299921522459796</v>
          </cell>
          <cell r="F2499">
            <v>1.9333333333333331</v>
          </cell>
          <cell r="G2499" t="str">
            <v>NORWAY</v>
          </cell>
          <cell r="H2499">
            <v>4</v>
          </cell>
        </row>
        <row r="2500">
          <cell r="B2500" t="str">
            <v>43220NZD</v>
          </cell>
          <cell r="C2500" t="str">
            <v>43220NEW ZEALAND</v>
          </cell>
          <cell r="D2500" t="str">
            <v>NZD</v>
          </cell>
          <cell r="E2500">
            <v>4.2091151889093217</v>
          </cell>
          <cell r="F2500">
            <v>1.8163333333333331</v>
          </cell>
          <cell r="G2500" t="str">
            <v>NEW ZEALAND</v>
          </cell>
          <cell r="H2500">
            <v>4</v>
          </cell>
        </row>
        <row r="2501">
          <cell r="B2501" t="str">
            <v>43220OMR</v>
          </cell>
          <cell r="C2501" t="str">
            <v>43220OMAN</v>
          </cell>
          <cell r="D2501" t="str">
            <v>OMR</v>
          </cell>
          <cell r="E2501">
            <v>5.3094832395648419</v>
          </cell>
          <cell r="F2501">
            <v>2.8333333333333335</v>
          </cell>
          <cell r="G2501" t="str">
            <v>OMAN</v>
          </cell>
          <cell r="H2501">
            <v>6</v>
          </cell>
        </row>
        <row r="2502">
          <cell r="B2502" t="str">
            <v>43220PEN</v>
          </cell>
          <cell r="C2502" t="str">
            <v>43220PERU</v>
          </cell>
          <cell r="D2502" t="str">
            <v>PEN</v>
          </cell>
          <cell r="E2502">
            <v>4.1468520592144156</v>
          </cell>
          <cell r="F2502">
            <v>1.6910000000000001</v>
          </cell>
          <cell r="G2502" t="str">
            <v>PERU</v>
          </cell>
          <cell r="H2502">
            <v>5</v>
          </cell>
        </row>
        <row r="2503">
          <cell r="B2503" t="str">
            <v>43220PGK</v>
          </cell>
          <cell r="C2503" t="str">
            <v>43220PAPUA NEW GUINEA</v>
          </cell>
          <cell r="D2503" t="str">
            <v>PGK</v>
          </cell>
          <cell r="E2503">
            <v>4.7740010762102028</v>
          </cell>
          <cell r="F2503">
            <v>2.7806666666666664</v>
          </cell>
          <cell r="G2503" t="str">
            <v>PAPUA NEW GUINEA</v>
          </cell>
          <cell r="H2503">
            <v>6</v>
          </cell>
        </row>
        <row r="2504">
          <cell r="B2504" t="str">
            <v>43220PHP</v>
          </cell>
          <cell r="C2504" t="str">
            <v>43220PHILIPPINES</v>
          </cell>
          <cell r="D2504" t="str">
            <v>PHP</v>
          </cell>
          <cell r="E2504">
            <v>5.7348373287454049</v>
          </cell>
          <cell r="F2504">
            <v>4.0556666666666663</v>
          </cell>
          <cell r="G2504" t="str">
            <v>PHILIPPINES</v>
          </cell>
          <cell r="H2504">
            <v>5</v>
          </cell>
        </row>
        <row r="2505">
          <cell r="B2505" t="str">
            <v>43220PKR</v>
          </cell>
          <cell r="C2505" t="str">
            <v>43220PAKISTAN</v>
          </cell>
          <cell r="D2505" t="str">
            <v>PKR</v>
          </cell>
          <cell r="E2505">
            <v>7.29017488306856</v>
          </cell>
          <cell r="F2505">
            <v>5.0723333333333329</v>
          </cell>
          <cell r="G2505" t="str">
            <v>PAKISTAN</v>
          </cell>
          <cell r="H2505">
            <v>6</v>
          </cell>
        </row>
        <row r="2506">
          <cell r="B2506" t="str">
            <v>43220PLN</v>
          </cell>
          <cell r="C2506" t="str">
            <v>43220POLAND</v>
          </cell>
          <cell r="D2506" t="str">
            <v>PLN</v>
          </cell>
          <cell r="E2506">
            <v>4.763798302072745</v>
          </cell>
          <cell r="F2506">
            <v>2.5303333333333331</v>
          </cell>
          <cell r="G2506" t="str">
            <v>POLAND</v>
          </cell>
          <cell r="H2506">
            <v>4.5</v>
          </cell>
        </row>
        <row r="2507">
          <cell r="B2507" t="str">
            <v>43220QAR</v>
          </cell>
          <cell r="C2507" t="str">
            <v>43220QATAR</v>
          </cell>
          <cell r="D2507" t="str">
            <v>QAR</v>
          </cell>
          <cell r="E2507">
            <v>4.9382852669234847</v>
          </cell>
          <cell r="F2507">
            <v>3.7589999999999999</v>
          </cell>
          <cell r="G2507" t="str">
            <v>QATAR</v>
          </cell>
          <cell r="H2507">
            <v>6</v>
          </cell>
        </row>
        <row r="2508">
          <cell r="B2508" t="str">
            <v>43220RON</v>
          </cell>
          <cell r="C2508" t="str">
            <v>43220ROMANIA</v>
          </cell>
          <cell r="D2508" t="str">
            <v>RON</v>
          </cell>
          <cell r="E2508">
            <v>5.6525231320469196</v>
          </cell>
          <cell r="F2508">
            <v>4.1273333333333326</v>
          </cell>
          <cell r="G2508" t="str">
            <v>ROMANIA</v>
          </cell>
          <cell r="H2508">
            <v>6</v>
          </cell>
        </row>
        <row r="2509">
          <cell r="B2509" t="str">
            <v>43220RUB</v>
          </cell>
          <cell r="C2509" t="str">
            <v>43220RUSSIAN FEDERATION</v>
          </cell>
          <cell r="D2509" t="str">
            <v>RUB</v>
          </cell>
          <cell r="E2509">
            <v>5.9488620798836358</v>
          </cell>
          <cell r="F2509">
            <v>3.083333333333333</v>
          </cell>
          <cell r="G2509" t="str">
            <v>RUSSIAN FEDERATION</v>
          </cell>
          <cell r="H2509">
            <v>8</v>
          </cell>
        </row>
        <row r="2510">
          <cell r="B2510" t="str">
            <v>43220SAR</v>
          </cell>
          <cell r="C2510" t="str">
            <v>43220SAUDI ARABIA</v>
          </cell>
          <cell r="D2510" t="str">
            <v>SAR</v>
          </cell>
          <cell r="E2510">
            <v>4.703978976525506</v>
          </cell>
          <cell r="F2510">
            <v>3.1603333333333334</v>
          </cell>
          <cell r="G2510" t="str">
            <v>SAUDI ARABIA</v>
          </cell>
          <cell r="H2510">
            <v>5</v>
          </cell>
        </row>
        <row r="2511">
          <cell r="B2511" t="str">
            <v>43220SEK</v>
          </cell>
          <cell r="C2511" t="str">
            <v>43220SWEDEN</v>
          </cell>
          <cell r="D2511" t="str">
            <v>SEK</v>
          </cell>
          <cell r="E2511">
            <v>4.0598076330788748</v>
          </cell>
          <cell r="F2511">
            <v>1.5583333333333331</v>
          </cell>
          <cell r="G2511" t="str">
            <v>SWEDEN</v>
          </cell>
          <cell r="H2511">
            <v>4</v>
          </cell>
        </row>
        <row r="2512">
          <cell r="B2512" t="str">
            <v>43220SGD</v>
          </cell>
          <cell r="C2512" t="str">
            <v>43220SINGAPORE</v>
          </cell>
          <cell r="D2512" t="str">
            <v>SGD</v>
          </cell>
          <cell r="E2512">
            <v>3.312166572992651</v>
          </cell>
          <cell r="F2512">
            <v>1.1416666666666666</v>
          </cell>
          <cell r="G2512" t="str">
            <v>SINGAPORE</v>
          </cell>
          <cell r="H2512">
            <v>4</v>
          </cell>
        </row>
        <row r="2513">
          <cell r="B2513" t="str">
            <v>43220TZS</v>
          </cell>
          <cell r="C2513" t="str">
            <v>43220TANZANIA, UNITED REPUBLIC OF</v>
          </cell>
          <cell r="D2513" t="str">
            <v>TZS</v>
          </cell>
          <cell r="E2513">
            <v>7.2179804773861358</v>
          </cell>
          <cell r="F2513">
            <v>4.8933333333333335</v>
          </cell>
          <cell r="G2513" t="str">
            <v>TANZANIA, UNITED REPUBLIC OF</v>
          </cell>
          <cell r="H2513">
            <v>6</v>
          </cell>
        </row>
        <row r="2514">
          <cell r="B2514" t="str">
            <v>43220THB</v>
          </cell>
          <cell r="C2514" t="str">
            <v>43220THAILAND</v>
          </cell>
          <cell r="D2514" t="str">
            <v>THB</v>
          </cell>
          <cell r="E2514">
            <v>3.5240979583869994</v>
          </cell>
          <cell r="F2514">
            <v>1.1606666666666667</v>
          </cell>
          <cell r="G2514" t="str">
            <v>THAILAND</v>
          </cell>
          <cell r="H2514">
            <v>5</v>
          </cell>
        </row>
        <row r="2515">
          <cell r="B2515" t="str">
            <v>43220TRY</v>
          </cell>
          <cell r="C2515" t="str">
            <v>43220TURKEY</v>
          </cell>
          <cell r="D2515" t="str">
            <v>TRY</v>
          </cell>
          <cell r="E2515">
            <v>11.622346827687995</v>
          </cell>
          <cell r="F2515">
            <v>11.098333333333333</v>
          </cell>
          <cell r="G2515" t="str">
            <v>TURKEY</v>
          </cell>
          <cell r="H2515">
            <v>6</v>
          </cell>
        </row>
        <row r="2516">
          <cell r="B2516" t="str">
            <v>43220TWD</v>
          </cell>
          <cell r="C2516" t="str">
            <v>43220TAIWAN</v>
          </cell>
          <cell r="D2516" t="str">
            <v>TWD</v>
          </cell>
          <cell r="E2516">
            <v>3.9694214099952365</v>
          </cell>
          <cell r="F2516">
            <v>1.3</v>
          </cell>
          <cell r="G2516" t="str">
            <v>TAIWAN</v>
          </cell>
          <cell r="H2516">
            <v>5</v>
          </cell>
        </row>
        <row r="2517">
          <cell r="B2517" t="str">
            <v>43220UAH</v>
          </cell>
          <cell r="C2517" t="str">
            <v>43220UKRAINE</v>
          </cell>
          <cell r="D2517" t="str">
            <v>UAH</v>
          </cell>
          <cell r="E2517">
            <v>9.4308843600138506</v>
          </cell>
          <cell r="F2517">
            <v>10.009</v>
          </cell>
          <cell r="G2517" t="str">
            <v>UKRAINE</v>
          </cell>
          <cell r="H2517">
            <v>6</v>
          </cell>
        </row>
        <row r="2518">
          <cell r="B2518" t="str">
            <v>43220USD</v>
          </cell>
          <cell r="C2518" t="str">
            <v>43220UNITED STATES</v>
          </cell>
          <cell r="D2518" t="str">
            <v>USD</v>
          </cell>
          <cell r="E2518">
            <v>4.4933926525857961</v>
          </cell>
          <cell r="F2518">
            <v>2.508</v>
          </cell>
          <cell r="G2518" t="str">
            <v>UNITED STATES</v>
          </cell>
          <cell r="H2518">
            <v>4</v>
          </cell>
        </row>
        <row r="2519">
          <cell r="B2519" t="str">
            <v>43220VND</v>
          </cell>
          <cell r="C2519" t="str">
            <v>43220VIET NAM</v>
          </cell>
          <cell r="D2519" t="str">
            <v>VND</v>
          </cell>
          <cell r="E2519">
            <v>6.2099691952184157</v>
          </cell>
          <cell r="F2519">
            <v>3.8666666666666663</v>
          </cell>
          <cell r="G2519" t="str">
            <v>VIET NAM</v>
          </cell>
          <cell r="H2519">
            <v>6</v>
          </cell>
        </row>
        <row r="2520">
          <cell r="B2520" t="str">
            <v>43220XOF</v>
          </cell>
          <cell r="C2520" t="str">
            <v>43220MALI</v>
          </cell>
          <cell r="D2520" t="str">
            <v>XOF</v>
          </cell>
          <cell r="E2520">
            <v>4.0833610505822939</v>
          </cell>
          <cell r="F2520">
            <v>1.4616666666666667</v>
          </cell>
          <cell r="G2520" t="str">
            <v>MALI</v>
          </cell>
          <cell r="H2520">
            <v>6</v>
          </cell>
        </row>
        <row r="2521">
          <cell r="B2521" t="str">
            <v>43220ZAR</v>
          </cell>
          <cell r="C2521" t="str">
            <v>43220SOUTH AFRICA</v>
          </cell>
          <cell r="D2521" t="str">
            <v>ZAR</v>
          </cell>
          <cell r="E2521">
            <v>7.6571510417374791</v>
          </cell>
          <cell r="F2521">
            <v>5.2766666666666673</v>
          </cell>
          <cell r="G2521" t="str">
            <v>SOUTH AFRICA</v>
          </cell>
          <cell r="H2521">
            <v>5</v>
          </cell>
        </row>
        <row r="2522">
          <cell r="B2522" t="str">
            <v>43220ZMW</v>
          </cell>
          <cell r="C2522" t="str">
            <v>43220ZAMBIA</v>
          </cell>
          <cell r="D2522" t="str">
            <v>ZMW</v>
          </cell>
          <cell r="E2522">
            <v>10.298556318956157</v>
          </cell>
          <cell r="F2522">
            <v>8.1620000000000008</v>
          </cell>
          <cell r="G2522" t="str">
            <v>ZAMBIA</v>
          </cell>
          <cell r="H2522">
            <v>6</v>
          </cell>
        </row>
        <row r="2523">
          <cell r="B2523" t="str">
            <v>43220EUR1</v>
          </cell>
          <cell r="C2523" t="str">
            <v>43220BELGIUM</v>
          </cell>
          <cell r="D2523" t="str">
            <v>EUR1</v>
          </cell>
          <cell r="E2523">
            <v>4.0533982923157721</v>
          </cell>
          <cell r="G2523" t="str">
            <v>BELGIUM</v>
          </cell>
          <cell r="H2523">
            <v>4</v>
          </cell>
        </row>
        <row r="2524">
          <cell r="B2524" t="str">
            <v>43220EUR2</v>
          </cell>
          <cell r="C2524" t="str">
            <v>43220CYPRUS</v>
          </cell>
          <cell r="D2524" t="str">
            <v>EUR2</v>
          </cell>
          <cell r="E2524">
            <v>4.0533982923157721</v>
          </cell>
          <cell r="G2524" t="str">
            <v>CYPRUS</v>
          </cell>
          <cell r="H2524">
            <v>5</v>
          </cell>
        </row>
        <row r="2525">
          <cell r="B2525" t="str">
            <v>43220EUR3</v>
          </cell>
          <cell r="C2525" t="str">
            <v>43220ESTONIA</v>
          </cell>
          <cell r="D2525" t="str">
            <v>EUR3</v>
          </cell>
          <cell r="E2525">
            <v>4.0533982923157721</v>
          </cell>
          <cell r="G2525" t="str">
            <v>ESTONIA</v>
          </cell>
          <cell r="H2525">
            <v>6</v>
          </cell>
        </row>
        <row r="2526">
          <cell r="B2526" t="str">
            <v>43220EUR4</v>
          </cell>
          <cell r="C2526" t="str">
            <v>43220FINLAND</v>
          </cell>
          <cell r="D2526" t="str">
            <v>EUR4</v>
          </cell>
          <cell r="E2526">
            <v>4.0533982923157721</v>
          </cell>
          <cell r="G2526" t="str">
            <v>FINLAND</v>
          </cell>
          <cell r="H2526">
            <v>4</v>
          </cell>
        </row>
        <row r="2527">
          <cell r="B2527" t="str">
            <v>43220EUR5</v>
          </cell>
          <cell r="C2527" t="str">
            <v>43220FRANCE</v>
          </cell>
          <cell r="D2527" t="str">
            <v>EUR5</v>
          </cell>
          <cell r="E2527">
            <v>4.0533982923157721</v>
          </cell>
          <cell r="G2527" t="str">
            <v>FRANCE</v>
          </cell>
          <cell r="H2527">
            <v>4</v>
          </cell>
        </row>
        <row r="2528">
          <cell r="B2528" t="str">
            <v>43220EUR6</v>
          </cell>
          <cell r="C2528" t="str">
            <v>43220GERMANY</v>
          </cell>
          <cell r="D2528" t="str">
            <v>EUR6</v>
          </cell>
          <cell r="E2528">
            <v>4.0533982923157721</v>
          </cell>
          <cell r="G2528" t="str">
            <v>GERMANY</v>
          </cell>
          <cell r="H2528">
            <v>4.2822739845530942</v>
          </cell>
        </row>
        <row r="2529">
          <cell r="B2529" t="str">
            <v>43220EUR7</v>
          </cell>
          <cell r="C2529" t="str">
            <v>43220GREECE</v>
          </cell>
          <cell r="D2529" t="str">
            <v>EUR7</v>
          </cell>
          <cell r="E2529">
            <v>4.0533982923157721</v>
          </cell>
          <cell r="G2529" t="str">
            <v>GREECE</v>
          </cell>
          <cell r="H2529">
            <v>7</v>
          </cell>
        </row>
        <row r="2530">
          <cell r="B2530" t="str">
            <v>43220EUR8</v>
          </cell>
          <cell r="C2530" t="str">
            <v>43220IRELAND</v>
          </cell>
          <cell r="D2530" t="str">
            <v>EUR8</v>
          </cell>
          <cell r="E2530">
            <v>4.0533982923157721</v>
          </cell>
          <cell r="G2530" t="str">
            <v>IRELAND</v>
          </cell>
          <cell r="H2530">
            <v>4</v>
          </cell>
        </row>
        <row r="2531">
          <cell r="B2531" t="str">
            <v>43220EUR9</v>
          </cell>
          <cell r="C2531" t="str">
            <v>43220ITALY</v>
          </cell>
          <cell r="D2531" t="str">
            <v>EUR9</v>
          </cell>
          <cell r="E2531">
            <v>4.0533982923157721</v>
          </cell>
          <cell r="G2531" t="str">
            <v>ITALY</v>
          </cell>
          <cell r="H2531">
            <v>4.5</v>
          </cell>
        </row>
        <row r="2532">
          <cell r="B2532" t="str">
            <v>43220EUR10</v>
          </cell>
          <cell r="C2532" t="str">
            <v>43220LATVIA</v>
          </cell>
          <cell r="D2532" t="str">
            <v>EUR10</v>
          </cell>
          <cell r="E2532">
            <v>4.0533982923157721</v>
          </cell>
          <cell r="G2532" t="str">
            <v>LATVIA</v>
          </cell>
          <cell r="H2532">
            <v>6</v>
          </cell>
        </row>
        <row r="2533">
          <cell r="B2533" t="str">
            <v>43220EUR11</v>
          </cell>
          <cell r="C2533" t="str">
            <v>43220LUXEMBOURG</v>
          </cell>
          <cell r="D2533" t="str">
            <v>EUR11</v>
          </cell>
          <cell r="E2533">
            <v>4.0533982923157721</v>
          </cell>
          <cell r="G2533" t="str">
            <v>LUXEMBOURG</v>
          </cell>
          <cell r="H2533">
            <v>4</v>
          </cell>
        </row>
        <row r="2534">
          <cell r="B2534" t="str">
            <v>43220EUR12</v>
          </cell>
          <cell r="C2534" t="str">
            <v>43220MALTA</v>
          </cell>
          <cell r="D2534" t="str">
            <v>EUR12</v>
          </cell>
          <cell r="E2534">
            <v>4.0533982923157721</v>
          </cell>
          <cell r="G2534" t="str">
            <v>MALTA</v>
          </cell>
          <cell r="H2534">
            <v>4</v>
          </cell>
        </row>
        <row r="2535">
          <cell r="B2535" t="str">
            <v>43220EUR13</v>
          </cell>
          <cell r="C2535" t="str">
            <v>43220MONTENEGRO</v>
          </cell>
          <cell r="D2535" t="str">
            <v>EUR13</v>
          </cell>
          <cell r="E2535">
            <v>4.0533982923157721</v>
          </cell>
          <cell r="G2535" t="str">
            <v>MONTENEGRO</v>
          </cell>
          <cell r="H2535">
            <v>6</v>
          </cell>
        </row>
        <row r="2536">
          <cell r="B2536" t="str">
            <v>43220EUR14</v>
          </cell>
          <cell r="C2536" t="str">
            <v>43220NETHERLANDS</v>
          </cell>
          <cell r="D2536" t="str">
            <v>EUR14</v>
          </cell>
          <cell r="E2536">
            <v>4.0533982923157721</v>
          </cell>
          <cell r="G2536" t="str">
            <v>NETHERLANDS</v>
          </cell>
          <cell r="H2536">
            <v>4</v>
          </cell>
        </row>
        <row r="2537">
          <cell r="B2537" t="str">
            <v>43220EUR15</v>
          </cell>
          <cell r="C2537" t="str">
            <v>43220PORTUGAL</v>
          </cell>
          <cell r="D2537" t="str">
            <v>EUR15</v>
          </cell>
          <cell r="E2537">
            <v>4.0533982923157721</v>
          </cell>
          <cell r="G2537" t="str">
            <v>PORTUGAL</v>
          </cell>
          <cell r="H2537">
            <v>4</v>
          </cell>
        </row>
        <row r="2538">
          <cell r="B2538" t="str">
            <v>43220EUR16</v>
          </cell>
          <cell r="C2538" t="str">
            <v>43220SLOVAKIA</v>
          </cell>
          <cell r="D2538" t="str">
            <v>EUR16</v>
          </cell>
          <cell r="E2538">
            <v>4.0533982923157721</v>
          </cell>
          <cell r="G2538" t="str">
            <v>SLOVAKIA</v>
          </cell>
          <cell r="H2538">
            <v>5</v>
          </cell>
        </row>
        <row r="2539">
          <cell r="B2539" t="str">
            <v>43220EUR17</v>
          </cell>
          <cell r="C2539" t="str">
            <v>43220SLOVENIA</v>
          </cell>
          <cell r="D2539" t="str">
            <v>EUR17</v>
          </cell>
          <cell r="E2539">
            <v>4.0533982923157721</v>
          </cell>
          <cell r="G2539" t="str">
            <v>SLOVENIA</v>
          </cell>
          <cell r="H2539">
            <v>6</v>
          </cell>
        </row>
        <row r="2540">
          <cell r="B2540" t="str">
            <v>43220EUR18</v>
          </cell>
          <cell r="C2540" t="str">
            <v>43220SPAIN</v>
          </cell>
          <cell r="D2540" t="str">
            <v>EUR18</v>
          </cell>
          <cell r="E2540">
            <v>4.0533982923157721</v>
          </cell>
          <cell r="G2540" t="str">
            <v>SPAIN</v>
          </cell>
          <cell r="H2540">
            <v>4</v>
          </cell>
        </row>
        <row r="2541">
          <cell r="B2541" t="str">
            <v>43220Eastern European Institutions</v>
          </cell>
          <cell r="C2541" t="str">
            <v>43220Eastern European Institutions</v>
          </cell>
          <cell r="D2541" t="str">
            <v>Eastern European Institutions</v>
          </cell>
          <cell r="E2541">
            <v>0</v>
          </cell>
          <cell r="G2541" t="str">
            <v>Eastern European Institutions</v>
          </cell>
          <cell r="H2541">
            <v>5</v>
          </cell>
        </row>
        <row r="2542">
          <cell r="B2542" t="str">
            <v>43251AED</v>
          </cell>
          <cell r="C2542" t="str">
            <v>43251U. A. E.</v>
          </cell>
          <cell r="D2542" t="str">
            <v>AED</v>
          </cell>
          <cell r="E2542">
            <v>4.9765622077347951</v>
          </cell>
          <cell r="F2542">
            <v>2.4989999999999997</v>
          </cell>
          <cell r="G2542" t="str">
            <v>U. A. E.</v>
          </cell>
          <cell r="H2542">
            <v>5</v>
          </cell>
        </row>
        <row r="2543">
          <cell r="B2543" t="str">
            <v>43251ARS</v>
          </cell>
          <cell r="C2543" t="str">
            <v>43251ARGENTINA</v>
          </cell>
          <cell r="D2543" t="str">
            <v>ARS</v>
          </cell>
          <cell r="E2543">
            <v>16.1758774448334</v>
          </cell>
          <cell r="F2543">
            <v>19.653416666666665</v>
          </cell>
          <cell r="G2543" t="str">
            <v>ARGENTINA</v>
          </cell>
          <cell r="H2543">
            <v>6</v>
          </cell>
        </row>
        <row r="2544">
          <cell r="B2544" t="str">
            <v>43251AUD</v>
          </cell>
          <cell r="C2544" t="str">
            <v>43251AUSTRALIA</v>
          </cell>
          <cell r="D2544" t="str">
            <v>AUD</v>
          </cell>
          <cell r="E2544">
            <v>4.6859358608191828</v>
          </cell>
          <cell r="F2544">
            <v>2.2953333333333332</v>
          </cell>
          <cell r="G2544" t="str">
            <v>AUSTRALIA</v>
          </cell>
          <cell r="H2544">
            <v>3.3639078507616462</v>
          </cell>
        </row>
        <row r="2545">
          <cell r="B2545" t="str">
            <v>43251BDT</v>
          </cell>
          <cell r="C2545" t="str">
            <v>43251BANGLADESH</v>
          </cell>
          <cell r="D2545" t="str">
            <v>BDT</v>
          </cell>
          <cell r="E2545">
            <v>8.1038783987598606</v>
          </cell>
          <cell r="F2545">
            <v>5.9819166666666668</v>
          </cell>
          <cell r="G2545" t="str">
            <v>BANGLADESH</v>
          </cell>
          <cell r="H2545">
            <v>6</v>
          </cell>
        </row>
        <row r="2546">
          <cell r="B2546" t="str">
            <v>43251BRL</v>
          </cell>
          <cell r="C2546" t="str">
            <v>43251BRAZIL</v>
          </cell>
          <cell r="D2546" t="str">
            <v>BRL</v>
          </cell>
          <cell r="E2546">
            <v>6.2520890993651248</v>
          </cell>
          <cell r="F2546">
            <v>3.7848333333333333</v>
          </cell>
          <cell r="G2546" t="str">
            <v>BRAZIL</v>
          </cell>
          <cell r="H2546">
            <v>7</v>
          </cell>
        </row>
        <row r="2547">
          <cell r="B2547" t="str">
            <v>43251BWP</v>
          </cell>
          <cell r="C2547" t="str">
            <v>43251BOTSWANA</v>
          </cell>
          <cell r="D2547" t="str">
            <v>BWP</v>
          </cell>
          <cell r="E2547">
            <v>6.0999614689788242</v>
          </cell>
          <cell r="F2547">
            <v>3.7416666666666671</v>
          </cell>
          <cell r="G2547" t="str">
            <v>BOTSWANA</v>
          </cell>
          <cell r="H2547">
            <v>6</v>
          </cell>
        </row>
        <row r="2548">
          <cell r="B2548" t="str">
            <v>43251CAD</v>
          </cell>
          <cell r="C2548" t="str">
            <v>43251CANADA</v>
          </cell>
          <cell r="D2548" t="str">
            <v>CAD</v>
          </cell>
          <cell r="E2548">
            <v>4.3629928217084926</v>
          </cell>
          <cell r="F2548">
            <v>2.155583333333333</v>
          </cell>
          <cell r="G2548" t="str">
            <v>CANADA</v>
          </cell>
          <cell r="H2548">
            <v>4</v>
          </cell>
        </row>
        <row r="2549">
          <cell r="B2549" t="str">
            <v>43251CHF</v>
          </cell>
          <cell r="C2549" t="str">
            <v>43251SWITZERLAND</v>
          </cell>
          <cell r="D2549" t="str">
            <v>CHF</v>
          </cell>
          <cell r="E2549">
            <v>3.1813212363103895</v>
          </cell>
          <cell r="F2549">
            <v>0.81333333333333346</v>
          </cell>
          <cell r="G2549" t="str">
            <v>SWITZERLAND</v>
          </cell>
          <cell r="H2549">
            <v>4</v>
          </cell>
        </row>
        <row r="2550">
          <cell r="B2550" t="str">
            <v>43251CLP</v>
          </cell>
          <cell r="C2550" t="str">
            <v>43251CHILE</v>
          </cell>
          <cell r="D2550" t="str">
            <v>CLP</v>
          </cell>
          <cell r="E2550">
            <v>5.1771119987088534</v>
          </cell>
          <cell r="F2550">
            <v>2.6943333333333332</v>
          </cell>
          <cell r="G2550" t="str">
            <v>CHILE</v>
          </cell>
          <cell r="H2550">
            <v>5</v>
          </cell>
        </row>
        <row r="2551">
          <cell r="B2551" t="str">
            <v>43251CNY</v>
          </cell>
          <cell r="C2551" t="str">
            <v>43251CHINA</v>
          </cell>
          <cell r="D2551" t="str">
            <v>CNY</v>
          </cell>
          <cell r="E2551">
            <v>4.9349212201139894</v>
          </cell>
          <cell r="F2551">
            <v>2.5365833333333336</v>
          </cell>
          <cell r="G2551" t="str">
            <v>CHINA</v>
          </cell>
          <cell r="H2551">
            <v>5</v>
          </cell>
        </row>
        <row r="2552">
          <cell r="B2552" t="str">
            <v>43251COP</v>
          </cell>
          <cell r="C2552" t="str">
            <v>43251COLOMBIA</v>
          </cell>
          <cell r="D2552" t="str">
            <v>COP</v>
          </cell>
          <cell r="E2552">
            <v>5.4483824603649014</v>
          </cell>
          <cell r="F2552">
            <v>3.4598333333333331</v>
          </cell>
          <cell r="G2552" t="str">
            <v>COLOMBIA</v>
          </cell>
          <cell r="H2552">
            <v>5</v>
          </cell>
        </row>
        <row r="2553">
          <cell r="B2553" t="str">
            <v>43251CZK</v>
          </cell>
          <cell r="C2553" t="str">
            <v>43251CZECH REPUBLIC</v>
          </cell>
          <cell r="D2553" t="str">
            <v>CZK</v>
          </cell>
          <cell r="E2553">
            <v>4.3147178224534324</v>
          </cell>
          <cell r="F2553">
            <v>2.1890000000000001</v>
          </cell>
          <cell r="G2553" t="str">
            <v>CZECH REPUBLIC</v>
          </cell>
          <cell r="H2553">
            <v>5</v>
          </cell>
        </row>
        <row r="2554">
          <cell r="B2554" t="str">
            <v>43251DKK</v>
          </cell>
          <cell r="C2554" t="str">
            <v>43251DENMARK</v>
          </cell>
          <cell r="D2554" t="str">
            <v>DKK</v>
          </cell>
          <cell r="E2554">
            <v>4.0697167716395457</v>
          </cell>
          <cell r="F2554">
            <v>1.5249999999999999</v>
          </cell>
          <cell r="G2554" t="str">
            <v>DENMARK</v>
          </cell>
          <cell r="H2554">
            <v>4</v>
          </cell>
        </row>
        <row r="2555">
          <cell r="B2555" t="str">
            <v>43251EGP</v>
          </cell>
          <cell r="C2555" t="str">
            <v>43251EGYPT</v>
          </cell>
          <cell r="D2555" t="str">
            <v>EGP</v>
          </cell>
          <cell r="E2555">
            <v>13.639206522608086</v>
          </cell>
          <cell r="F2555">
            <v>17.1235</v>
          </cell>
          <cell r="G2555" t="str">
            <v>EGYPT</v>
          </cell>
          <cell r="H2555">
            <v>5</v>
          </cell>
        </row>
        <row r="2556">
          <cell r="B2556" t="str">
            <v>43251EUR</v>
          </cell>
          <cell r="D2556" t="str">
            <v>EUR</v>
          </cell>
          <cell r="E2556">
            <v>4.0533982923157721</v>
          </cell>
          <cell r="F2556">
            <v>1.5695833333333336</v>
          </cell>
          <cell r="H2556">
            <v>0</v>
          </cell>
        </row>
        <row r="2557">
          <cell r="B2557" t="str">
            <v>43251GBP</v>
          </cell>
          <cell r="C2557" t="str">
            <v>43251UNITED KINGDOM</v>
          </cell>
          <cell r="D2557" t="str">
            <v>GBP</v>
          </cell>
          <cell r="E2557">
            <v>4.4019417394370022</v>
          </cell>
          <cell r="F2557">
            <v>2.5002500000000003</v>
          </cell>
          <cell r="G2557" t="str">
            <v>UNITED KINGDOM</v>
          </cell>
          <cell r="H2557">
            <v>4</v>
          </cell>
        </row>
        <row r="2558">
          <cell r="B2558" t="str">
            <v>43251GEL</v>
          </cell>
          <cell r="C2558" t="str">
            <v>43251GEORGIA</v>
          </cell>
          <cell r="D2558" t="str">
            <v>GEL</v>
          </cell>
          <cell r="E2558">
            <v>5.3749190213799682</v>
          </cell>
          <cell r="F2558">
            <v>3.3620000000000001</v>
          </cell>
          <cell r="G2558" t="str">
            <v>GEORGIA</v>
          </cell>
          <cell r="H2558">
            <v>6</v>
          </cell>
        </row>
        <row r="2559">
          <cell r="B2559" t="str">
            <v>43251HKD</v>
          </cell>
          <cell r="C2559" t="str">
            <v>43251HONG KONG</v>
          </cell>
          <cell r="D2559" t="str">
            <v>HKD</v>
          </cell>
          <cell r="E2559">
            <v>4.549843711580829</v>
          </cell>
          <cell r="F2559">
            <v>2.4989999999999997</v>
          </cell>
          <cell r="G2559" t="str">
            <v>HONG KONG</v>
          </cell>
          <cell r="H2559">
            <v>4</v>
          </cell>
        </row>
        <row r="2560">
          <cell r="B2560" t="str">
            <v>43251GHS</v>
          </cell>
          <cell r="C2560" t="str">
            <v>43251GHANA</v>
          </cell>
          <cell r="D2560" t="str">
            <v>GHS</v>
          </cell>
          <cell r="E2560">
            <v>9.7914061284129872</v>
          </cell>
          <cell r="F2560">
            <v>8.424666666666667</v>
          </cell>
          <cell r="G2560" t="str">
            <v>GHANA</v>
          </cell>
          <cell r="H2560">
            <v>6</v>
          </cell>
        </row>
        <row r="2561">
          <cell r="B2561" t="str">
            <v>43251HRK</v>
          </cell>
          <cell r="C2561" t="str">
            <v>43251CROATIA</v>
          </cell>
          <cell r="D2561" t="str">
            <v>HRK</v>
          </cell>
          <cell r="E2561">
            <v>3.86533022719893</v>
          </cell>
          <cell r="F2561">
            <v>1.4933333333333332</v>
          </cell>
          <cell r="G2561" t="str">
            <v>CROATIA</v>
          </cell>
          <cell r="H2561">
            <v>6</v>
          </cell>
        </row>
        <row r="2562">
          <cell r="B2562" t="str">
            <v>43251HUF</v>
          </cell>
          <cell r="C2562" t="str">
            <v>43251HUNGARY</v>
          </cell>
          <cell r="D2562" t="str">
            <v>HUF</v>
          </cell>
          <cell r="E2562">
            <v>5.2682170776554829</v>
          </cell>
          <cell r="F2562">
            <v>2.9611666666666667</v>
          </cell>
          <cell r="G2562" t="str">
            <v>HUNGARY</v>
          </cell>
          <cell r="H2562">
            <v>5</v>
          </cell>
        </row>
        <row r="2563">
          <cell r="B2563" t="str">
            <v>43251IDR</v>
          </cell>
          <cell r="C2563" t="str">
            <v>43251INDONESIA</v>
          </cell>
          <cell r="D2563" t="str">
            <v>IDR</v>
          </cell>
          <cell r="E2563">
            <v>5.6468905422355755</v>
          </cell>
          <cell r="F2563">
            <v>3.4722499999999998</v>
          </cell>
          <cell r="G2563" t="str">
            <v>INDONESIA</v>
          </cell>
          <cell r="H2563">
            <v>5</v>
          </cell>
        </row>
        <row r="2564">
          <cell r="B2564" t="str">
            <v>43251ILS</v>
          </cell>
          <cell r="C2564" t="str">
            <v>43251ISRAEL</v>
          </cell>
          <cell r="D2564" t="str">
            <v>ILS</v>
          </cell>
          <cell r="E2564">
            <v>3.812250819199229</v>
          </cell>
          <cell r="F2564">
            <v>0.97616666666666663</v>
          </cell>
          <cell r="G2564" t="str">
            <v>ISRAEL</v>
          </cell>
          <cell r="H2564">
            <v>4</v>
          </cell>
        </row>
        <row r="2565">
          <cell r="B2565" t="str">
            <v>43251INR</v>
          </cell>
          <cell r="C2565" t="str">
            <v>43251INDIA</v>
          </cell>
          <cell r="D2565" t="str">
            <v>INR</v>
          </cell>
          <cell r="E2565">
            <v>7.1267796879755743</v>
          </cell>
          <cell r="F2565">
            <v>4.9547500000000007</v>
          </cell>
          <cell r="G2565" t="str">
            <v>INDIA</v>
          </cell>
          <cell r="H2565">
            <v>5</v>
          </cell>
        </row>
        <row r="2566">
          <cell r="B2566" t="str">
            <v>43251IQD</v>
          </cell>
          <cell r="C2566" t="str">
            <v>43251IRAQ</v>
          </cell>
          <cell r="D2566" t="str">
            <v>IQD</v>
          </cell>
          <cell r="E2566">
            <v>4.2500000000000018</v>
          </cell>
          <cell r="F2566">
            <v>2</v>
          </cell>
          <cell r="G2566" t="str">
            <v>IRAQ</v>
          </cell>
          <cell r="H2566">
            <v>6</v>
          </cell>
        </row>
        <row r="2567">
          <cell r="B2567" t="str">
            <v>43251JPY</v>
          </cell>
          <cell r="C2567" t="str">
            <v>43251JAPAN</v>
          </cell>
          <cell r="D2567" t="str">
            <v>JPY</v>
          </cell>
          <cell r="E2567">
            <v>3.476161867078579</v>
          </cell>
          <cell r="F2567">
            <v>1.1099999999999999</v>
          </cell>
          <cell r="G2567" t="str">
            <v>JAPAN</v>
          </cell>
          <cell r="H2567">
            <v>4</v>
          </cell>
        </row>
        <row r="2568">
          <cell r="B2568" t="str">
            <v>43251KES</v>
          </cell>
          <cell r="C2568" t="str">
            <v>43251KENYA</v>
          </cell>
          <cell r="D2568" t="str">
            <v>KES</v>
          </cell>
          <cell r="E2568">
            <v>7.2163828523647258</v>
          </cell>
          <cell r="F2568">
            <v>4.9045000000000005</v>
          </cell>
          <cell r="G2568" t="str">
            <v>KENYA</v>
          </cell>
          <cell r="H2568">
            <v>7.5</v>
          </cell>
        </row>
        <row r="2569">
          <cell r="B2569" t="str">
            <v>43251JOD</v>
          </cell>
          <cell r="C2569" t="str">
            <v>43251JORDAN</v>
          </cell>
          <cell r="D2569" t="str">
            <v>JOD</v>
          </cell>
          <cell r="E2569">
            <v>4.5363507664002247</v>
          </cell>
          <cell r="F2569">
            <v>2.4989999999999997</v>
          </cell>
          <cell r="G2569" t="str">
            <v>JORDAN</v>
          </cell>
          <cell r="H2569">
            <v>6</v>
          </cell>
        </row>
        <row r="2570">
          <cell r="B2570" t="str">
            <v>43251KHR</v>
          </cell>
          <cell r="C2570" t="str">
            <v>43251CAMBODIA</v>
          </cell>
          <cell r="D2570" t="str">
            <v>KHR</v>
          </cell>
          <cell r="E2570">
            <v>5.3931495883768257</v>
          </cell>
          <cell r="F2570">
            <v>3.2511666666666668</v>
          </cell>
          <cell r="G2570" t="str">
            <v>CAMBODIA</v>
          </cell>
          <cell r="H2570">
            <v>6</v>
          </cell>
        </row>
        <row r="2571">
          <cell r="B2571" t="str">
            <v>43251KRW</v>
          </cell>
          <cell r="C2571" t="str">
            <v>43251KOREA SOUTH(REPUBLIC OF KOREA)</v>
          </cell>
          <cell r="D2571" t="str">
            <v>KRW</v>
          </cell>
          <cell r="E2571">
            <v>4.1799442757868546</v>
          </cell>
          <cell r="F2571">
            <v>1.8083333333333336</v>
          </cell>
          <cell r="G2571" t="str">
            <v>KOREA SOUTH(REPUBLIC OF KOREA)</v>
          </cell>
          <cell r="H2571">
            <v>5</v>
          </cell>
        </row>
        <row r="2572">
          <cell r="B2572" t="str">
            <v>43251KWD</v>
          </cell>
          <cell r="C2572" t="str">
            <v>43251KUWAIT</v>
          </cell>
          <cell r="D2572" t="str">
            <v>KWD</v>
          </cell>
          <cell r="E2572">
            <v>5.2691583576135494</v>
          </cell>
          <cell r="F2572">
            <v>3</v>
          </cell>
          <cell r="G2572" t="str">
            <v>KUWAIT</v>
          </cell>
          <cell r="H2572">
            <v>6</v>
          </cell>
        </row>
        <row r="2573">
          <cell r="B2573" t="str">
            <v>43251LKR</v>
          </cell>
          <cell r="C2573" t="str">
            <v>43251SRI LANKA</v>
          </cell>
          <cell r="D2573" t="str">
            <v>LKR</v>
          </cell>
          <cell r="E2573">
            <v>7.0997856885606039</v>
          </cell>
          <cell r="F2573">
            <v>4.8077499999999995</v>
          </cell>
          <cell r="G2573" t="str">
            <v>SRI LANKA</v>
          </cell>
          <cell r="H2573">
            <v>6</v>
          </cell>
        </row>
        <row r="2574">
          <cell r="B2574" t="str">
            <v>43251KZT</v>
          </cell>
          <cell r="C2574" t="str">
            <v>43251KAZAKHSTAN</v>
          </cell>
          <cell r="D2574" t="str">
            <v>KZT</v>
          </cell>
          <cell r="E2574">
            <v>7.2005446867270875</v>
          </cell>
          <cell r="F2574">
            <v>6.0614166666666662</v>
          </cell>
          <cell r="G2574" t="str">
            <v>KAZAKHSTAN</v>
          </cell>
          <cell r="H2574">
            <v>6</v>
          </cell>
        </row>
        <row r="2575">
          <cell r="B2575" t="str">
            <v>43251MAD</v>
          </cell>
          <cell r="C2575" t="str">
            <v>43251MOROCCO</v>
          </cell>
          <cell r="D2575" t="str">
            <v>MAD</v>
          </cell>
          <cell r="E2575">
            <v>4.1297166463972115</v>
          </cell>
          <cell r="F2575">
            <v>1.65</v>
          </cell>
          <cell r="G2575" t="str">
            <v>MOROCCO</v>
          </cell>
          <cell r="H2575">
            <v>6</v>
          </cell>
        </row>
        <row r="2576">
          <cell r="B2576" t="str">
            <v>43251MXN</v>
          </cell>
          <cell r="C2576" t="str">
            <v>43251MEXICO</v>
          </cell>
          <cell r="D2576" t="str">
            <v>MXN</v>
          </cell>
          <cell r="E2576">
            <v>5.5472396560453587</v>
          </cell>
          <cell r="F2576">
            <v>3.8489166666666668</v>
          </cell>
          <cell r="G2576" t="str">
            <v>MEXICO</v>
          </cell>
          <cell r="H2576">
            <v>7</v>
          </cell>
        </row>
        <row r="2577">
          <cell r="B2577" t="str">
            <v>43251MYR</v>
          </cell>
          <cell r="C2577" t="str">
            <v>43251MALAYSIA</v>
          </cell>
          <cell r="D2577" t="str">
            <v>MYR</v>
          </cell>
          <cell r="E2577">
            <v>4.823345829513296</v>
          </cell>
          <cell r="F2577">
            <v>2.8511666666666664</v>
          </cell>
          <cell r="G2577" t="str">
            <v>MALAYSIA</v>
          </cell>
          <cell r="H2577">
            <v>5</v>
          </cell>
        </row>
        <row r="2578">
          <cell r="B2578" t="str">
            <v>43251NGN</v>
          </cell>
          <cell r="C2578" t="str">
            <v>43251NIGERIA</v>
          </cell>
          <cell r="D2578" t="str">
            <v>NGN</v>
          </cell>
          <cell r="E2578">
            <v>16.648723451339723</v>
          </cell>
          <cell r="F2578">
            <v>14.345083333333333</v>
          </cell>
          <cell r="G2578" t="str">
            <v>NIGERIA</v>
          </cell>
          <cell r="H2578">
            <v>6</v>
          </cell>
        </row>
        <row r="2579">
          <cell r="B2579" t="str">
            <v>43251NOK</v>
          </cell>
          <cell r="C2579" t="str">
            <v>43251NORWAY</v>
          </cell>
          <cell r="D2579" t="str">
            <v>NOK</v>
          </cell>
          <cell r="E2579">
            <v>4.2299921522459796</v>
          </cell>
          <cell r="F2579">
            <v>1.9416666666666664</v>
          </cell>
          <cell r="G2579" t="str">
            <v>NORWAY</v>
          </cell>
          <cell r="H2579">
            <v>4</v>
          </cell>
        </row>
        <row r="2580">
          <cell r="B2580" t="str">
            <v>43251NZD</v>
          </cell>
          <cell r="C2580" t="str">
            <v>43251NEW ZEALAND</v>
          </cell>
          <cell r="D2580" t="str">
            <v>NZD</v>
          </cell>
          <cell r="E2580">
            <v>4.2091151889093217</v>
          </cell>
          <cell r="F2580">
            <v>1.8459166666666667</v>
          </cell>
          <cell r="G2580" t="str">
            <v>NEW ZEALAND</v>
          </cell>
          <cell r="H2580">
            <v>4</v>
          </cell>
        </row>
        <row r="2581">
          <cell r="B2581" t="str">
            <v>43251OMR</v>
          </cell>
          <cell r="C2581" t="str">
            <v>43251OMAN</v>
          </cell>
          <cell r="D2581" t="str">
            <v>OMR</v>
          </cell>
          <cell r="E2581">
            <v>5.3094832395648419</v>
          </cell>
          <cell r="F2581">
            <v>2.4989999999999997</v>
          </cell>
          <cell r="G2581" t="str">
            <v>OMAN</v>
          </cell>
          <cell r="H2581">
            <v>6</v>
          </cell>
        </row>
        <row r="2582">
          <cell r="B2582" t="str">
            <v>43251PEN</v>
          </cell>
          <cell r="C2582" t="str">
            <v>43251PERU</v>
          </cell>
          <cell r="D2582" t="str">
            <v>PEN</v>
          </cell>
          <cell r="E2582">
            <v>4.1468520592144156</v>
          </cell>
          <cell r="F2582">
            <v>1.726</v>
          </cell>
          <cell r="G2582" t="str">
            <v>PERU</v>
          </cell>
          <cell r="H2582">
            <v>5</v>
          </cell>
        </row>
        <row r="2583">
          <cell r="B2583" t="str">
            <v>43251PGK</v>
          </cell>
          <cell r="C2583" t="str">
            <v>43251PAPUA NEW GUINEA</v>
          </cell>
          <cell r="D2583" t="str">
            <v>PGK</v>
          </cell>
          <cell r="E2583">
            <v>4.7740010762102028</v>
          </cell>
          <cell r="F2583">
            <v>2.7455833333333333</v>
          </cell>
          <cell r="G2583" t="str">
            <v>PAPUA NEW GUINEA</v>
          </cell>
          <cell r="H2583">
            <v>6</v>
          </cell>
        </row>
        <row r="2584">
          <cell r="B2584" t="str">
            <v>43251PHP</v>
          </cell>
          <cell r="C2584" t="str">
            <v>43251PHILIPPINES</v>
          </cell>
          <cell r="D2584" t="str">
            <v>PHP</v>
          </cell>
          <cell r="E2584">
            <v>5.7348373287454049</v>
          </cell>
          <cell r="F2584">
            <v>4.0270833333333327</v>
          </cell>
          <cell r="G2584" t="str">
            <v>PHILIPPINES</v>
          </cell>
          <cell r="H2584">
            <v>5</v>
          </cell>
        </row>
        <row r="2585">
          <cell r="B2585" t="str">
            <v>43251PKR</v>
          </cell>
          <cell r="C2585" t="str">
            <v>43251PAKISTAN</v>
          </cell>
          <cell r="D2585" t="str">
            <v>PKR</v>
          </cell>
          <cell r="E2585">
            <v>7.29017488306856</v>
          </cell>
          <cell r="F2585">
            <v>5.0864166666666666</v>
          </cell>
          <cell r="G2585" t="str">
            <v>PAKISTAN</v>
          </cell>
          <cell r="H2585">
            <v>6</v>
          </cell>
        </row>
        <row r="2586">
          <cell r="B2586" t="str">
            <v>43251PLN</v>
          </cell>
          <cell r="C2586" t="str">
            <v>43251POLAND</v>
          </cell>
          <cell r="D2586" t="str">
            <v>PLN</v>
          </cell>
          <cell r="E2586">
            <v>4.763798302072745</v>
          </cell>
          <cell r="F2586">
            <v>2.5324166666666668</v>
          </cell>
          <cell r="G2586" t="str">
            <v>POLAND</v>
          </cell>
          <cell r="H2586">
            <v>4.5</v>
          </cell>
        </row>
        <row r="2587">
          <cell r="B2587" t="str">
            <v>43251QAR</v>
          </cell>
          <cell r="C2587" t="str">
            <v>43251QATAR</v>
          </cell>
          <cell r="D2587" t="str">
            <v>QAR</v>
          </cell>
          <cell r="E2587">
            <v>4.9382852669234847</v>
          </cell>
          <cell r="F2587">
            <v>2.4989999999999997</v>
          </cell>
          <cell r="G2587" t="str">
            <v>QATAR</v>
          </cell>
          <cell r="H2587">
            <v>6</v>
          </cell>
        </row>
        <row r="2588">
          <cell r="B2588" t="str">
            <v>43251RON</v>
          </cell>
          <cell r="C2588" t="str">
            <v>43251ROMANIA</v>
          </cell>
          <cell r="D2588" t="str">
            <v>RON</v>
          </cell>
          <cell r="E2588">
            <v>5.6525231320469196</v>
          </cell>
          <cell r="F2588">
            <v>3.9956666666666667</v>
          </cell>
          <cell r="G2588" t="str">
            <v>ROMANIA</v>
          </cell>
          <cell r="H2588">
            <v>6</v>
          </cell>
        </row>
        <row r="2589">
          <cell r="B2589" t="str">
            <v>43251RUB</v>
          </cell>
          <cell r="C2589" t="str">
            <v>43251RUSSIAN FEDERATION</v>
          </cell>
          <cell r="D2589" t="str">
            <v>RUB</v>
          </cell>
          <cell r="E2589">
            <v>5.9488620798836358</v>
          </cell>
          <cell r="F2589">
            <v>3.166666666666667</v>
          </cell>
          <cell r="G2589" t="str">
            <v>RUSSIAN FEDERATION</v>
          </cell>
          <cell r="H2589">
            <v>8</v>
          </cell>
        </row>
        <row r="2590">
          <cell r="B2590" t="str">
            <v>43251SAR</v>
          </cell>
          <cell r="C2590" t="str">
            <v>43251SAUDI ARABIA</v>
          </cell>
          <cell r="D2590" t="str">
            <v>SAR</v>
          </cell>
          <cell r="E2590">
            <v>4.703978976525506</v>
          </cell>
          <cell r="F2590">
            <v>2.4989999999999997</v>
          </cell>
          <cell r="G2590" t="str">
            <v>SAUDI ARABIA</v>
          </cell>
          <cell r="H2590">
            <v>5</v>
          </cell>
        </row>
        <row r="2591">
          <cell r="B2591" t="str">
            <v>43251SEK</v>
          </cell>
          <cell r="C2591" t="str">
            <v>43251SWEDEN</v>
          </cell>
          <cell r="D2591" t="str">
            <v>SEK</v>
          </cell>
          <cell r="E2591">
            <v>4.0598076330788748</v>
          </cell>
          <cell r="F2591">
            <v>1.5666666666666667</v>
          </cell>
          <cell r="G2591" t="str">
            <v>SWEDEN</v>
          </cell>
          <cell r="H2591">
            <v>4</v>
          </cell>
        </row>
        <row r="2592">
          <cell r="B2592" t="str">
            <v>43251SGD</v>
          </cell>
          <cell r="C2592" t="str">
            <v>43251SINGAPORE</v>
          </cell>
          <cell r="D2592" t="str">
            <v>SGD</v>
          </cell>
          <cell r="E2592">
            <v>3.312166572992651</v>
          </cell>
          <cell r="F2592">
            <v>1.1248333333333334</v>
          </cell>
          <cell r="G2592" t="str">
            <v>SINGAPORE</v>
          </cell>
          <cell r="H2592">
            <v>4</v>
          </cell>
        </row>
        <row r="2593">
          <cell r="B2593" t="str">
            <v>43251TZS</v>
          </cell>
          <cell r="C2593" t="str">
            <v>43251TANZANIA, UNITED REPUBLIC OF</v>
          </cell>
          <cell r="D2593" t="str">
            <v>TZS</v>
          </cell>
          <cell r="E2593">
            <v>7.2179804773861358</v>
          </cell>
          <cell r="F2593">
            <v>4.9066666666666663</v>
          </cell>
          <cell r="G2593" t="str">
            <v>TANZANIA, UNITED REPUBLIC OF</v>
          </cell>
          <cell r="H2593">
            <v>6</v>
          </cell>
        </row>
        <row r="2594">
          <cell r="B2594" t="str">
            <v>43251THB</v>
          </cell>
          <cell r="C2594" t="str">
            <v>43251THAILAND</v>
          </cell>
          <cell r="D2594" t="str">
            <v>THB</v>
          </cell>
          <cell r="E2594">
            <v>3.5240979583869994</v>
          </cell>
          <cell r="F2594">
            <v>1.0988333333333333</v>
          </cell>
          <cell r="G2594" t="str">
            <v>THAILAND</v>
          </cell>
          <cell r="H2594">
            <v>5</v>
          </cell>
        </row>
        <row r="2595">
          <cell r="B2595" t="str">
            <v>43251TRY</v>
          </cell>
          <cell r="C2595" t="str">
            <v>43251TURKEY</v>
          </cell>
          <cell r="D2595" t="str">
            <v>TRY</v>
          </cell>
          <cell r="E2595">
            <v>11.622346827687995</v>
          </cell>
          <cell r="F2595">
            <v>11.023666666666667</v>
          </cell>
          <cell r="G2595" t="str">
            <v>TURKEY</v>
          </cell>
          <cell r="H2595">
            <v>6</v>
          </cell>
        </row>
        <row r="2596">
          <cell r="B2596" t="str">
            <v>43251TWD</v>
          </cell>
          <cell r="C2596" t="str">
            <v>43251TAIWAN</v>
          </cell>
          <cell r="D2596" t="str">
            <v>TWD</v>
          </cell>
          <cell r="E2596">
            <v>3.9694214099952365</v>
          </cell>
          <cell r="F2596">
            <v>1.2999999999999998</v>
          </cell>
          <cell r="G2596" t="str">
            <v>TAIWAN</v>
          </cell>
          <cell r="H2596">
            <v>5</v>
          </cell>
        </row>
        <row r="2597">
          <cell r="B2597" t="str">
            <v>43251UAH</v>
          </cell>
          <cell r="C2597" t="str">
            <v>43251UKRAINE</v>
          </cell>
          <cell r="D2597" t="str">
            <v>UAH</v>
          </cell>
          <cell r="E2597">
            <v>9.4308843600138506</v>
          </cell>
          <cell r="F2597">
            <v>9.7520000000000007</v>
          </cell>
          <cell r="G2597" t="str">
            <v>UKRAINE</v>
          </cell>
          <cell r="H2597">
            <v>6</v>
          </cell>
        </row>
        <row r="2598">
          <cell r="B2598" t="str">
            <v>43251USD</v>
          </cell>
          <cell r="C2598" t="str">
            <v>43251UNITED STATES</v>
          </cell>
          <cell r="D2598" t="str">
            <v>USD</v>
          </cell>
          <cell r="E2598">
            <v>4.4933926525857961</v>
          </cell>
          <cell r="F2598">
            <v>2.4989999999999997</v>
          </cell>
          <cell r="G2598" t="str">
            <v>UNITED STATES</v>
          </cell>
          <cell r="H2598">
            <v>4</v>
          </cell>
        </row>
        <row r="2599">
          <cell r="B2599" t="str">
            <v>43251VND</v>
          </cell>
          <cell r="C2599" t="str">
            <v>43251VIET NAM</v>
          </cell>
          <cell r="D2599" t="str">
            <v>VND</v>
          </cell>
          <cell r="E2599">
            <v>6.2099691952184157</v>
          </cell>
          <cell r="F2599">
            <v>3.8833333333333329</v>
          </cell>
          <cell r="G2599" t="str">
            <v>VIET NAM</v>
          </cell>
          <cell r="H2599">
            <v>6</v>
          </cell>
        </row>
        <row r="2600">
          <cell r="B2600" t="str">
            <v>43251XOF</v>
          </cell>
          <cell r="C2600" t="str">
            <v>43251MALI</v>
          </cell>
          <cell r="D2600" t="str">
            <v>XOF</v>
          </cell>
          <cell r="E2600">
            <v>4.0833610505822939</v>
          </cell>
          <cell r="F2600">
            <v>1.4858333333333333</v>
          </cell>
          <cell r="G2600" t="str">
            <v>MALI</v>
          </cell>
          <cell r="H2600">
            <v>6</v>
          </cell>
        </row>
        <row r="2601">
          <cell r="B2601" t="str">
            <v>43251ZAR</v>
          </cell>
          <cell r="C2601" t="str">
            <v>43251SOUTH AFRICA</v>
          </cell>
          <cell r="D2601" t="str">
            <v>ZAR</v>
          </cell>
          <cell r="E2601">
            <v>7.6571510417374791</v>
          </cell>
          <cell r="F2601">
            <v>5.2810833333333331</v>
          </cell>
          <cell r="G2601" t="str">
            <v>SOUTH AFRICA</v>
          </cell>
          <cell r="H2601">
            <v>5</v>
          </cell>
        </row>
        <row r="2602">
          <cell r="B2602" t="str">
            <v>43251ZMW</v>
          </cell>
          <cell r="C2602" t="str">
            <v>43251ZAMBIA</v>
          </cell>
          <cell r="D2602" t="str">
            <v>ZMW</v>
          </cell>
          <cell r="E2602">
            <v>10.298556318956157</v>
          </cell>
          <cell r="F2602">
            <v>8.14175</v>
          </cell>
          <cell r="G2602" t="str">
            <v>ZAMBIA</v>
          </cell>
          <cell r="H2602">
            <v>6</v>
          </cell>
        </row>
        <row r="2603">
          <cell r="B2603" t="str">
            <v>43251EUR1</v>
          </cell>
          <cell r="C2603" t="str">
            <v>43251BELGIUM</v>
          </cell>
          <cell r="D2603" t="str">
            <v>EUR1</v>
          </cell>
          <cell r="E2603">
            <v>4.0533982923157721</v>
          </cell>
          <cell r="F2603">
            <v>0</v>
          </cell>
          <cell r="G2603" t="str">
            <v>BELGIUM</v>
          </cell>
          <cell r="H2603">
            <v>4</v>
          </cell>
        </row>
        <row r="2604">
          <cell r="B2604" t="str">
            <v>43251EUR2</v>
          </cell>
          <cell r="C2604" t="str">
            <v>43251CYPRUS</v>
          </cell>
          <cell r="D2604" t="str">
            <v>EUR2</v>
          </cell>
          <cell r="E2604">
            <v>4.0533982923157721</v>
          </cell>
          <cell r="F2604">
            <v>0</v>
          </cell>
          <cell r="G2604" t="str">
            <v>CYPRUS</v>
          </cell>
          <cell r="H2604">
            <v>5</v>
          </cell>
        </row>
        <row r="2605">
          <cell r="B2605" t="str">
            <v>43251EUR3</v>
          </cell>
          <cell r="C2605" t="str">
            <v>43251ESTONIA</v>
          </cell>
          <cell r="D2605" t="str">
            <v>EUR3</v>
          </cell>
          <cell r="E2605">
            <v>4.0533982923157721</v>
          </cell>
          <cell r="F2605">
            <v>0</v>
          </cell>
          <cell r="G2605" t="str">
            <v>ESTONIA</v>
          </cell>
          <cell r="H2605">
            <v>6</v>
          </cell>
        </row>
        <row r="2606">
          <cell r="B2606" t="str">
            <v>43251EUR4</v>
          </cell>
          <cell r="C2606" t="str">
            <v>43251FINLAND</v>
          </cell>
          <cell r="D2606" t="str">
            <v>EUR4</v>
          </cell>
          <cell r="E2606">
            <v>4.0533982923157721</v>
          </cell>
          <cell r="F2606">
            <v>0</v>
          </cell>
          <cell r="G2606" t="str">
            <v>FINLAND</v>
          </cell>
          <cell r="H2606">
            <v>4</v>
          </cell>
        </row>
        <row r="2607">
          <cell r="B2607" t="str">
            <v>43251EUR5</v>
          </cell>
          <cell r="C2607" t="str">
            <v>43251FRANCE</v>
          </cell>
          <cell r="D2607" t="str">
            <v>EUR5</v>
          </cell>
          <cell r="E2607">
            <v>4.0533982923157721</v>
          </cell>
          <cell r="F2607">
            <v>0</v>
          </cell>
          <cell r="G2607" t="str">
            <v>FRANCE</v>
          </cell>
          <cell r="H2607">
            <v>4</v>
          </cell>
        </row>
        <row r="2608">
          <cell r="B2608" t="str">
            <v>43251EUR6</v>
          </cell>
          <cell r="C2608" t="str">
            <v>43251GERMANY</v>
          </cell>
          <cell r="D2608" t="str">
            <v>EUR6</v>
          </cell>
          <cell r="E2608">
            <v>4.0533982923157721</v>
          </cell>
          <cell r="F2608">
            <v>0</v>
          </cell>
          <cell r="G2608" t="str">
            <v>GERMANY</v>
          </cell>
          <cell r="H2608">
            <v>4.2822739845530942</v>
          </cell>
        </row>
        <row r="2609">
          <cell r="B2609" t="str">
            <v>43251EUR7</v>
          </cell>
          <cell r="C2609" t="str">
            <v>43251GREECE</v>
          </cell>
          <cell r="D2609" t="str">
            <v>EUR7</v>
          </cell>
          <cell r="E2609">
            <v>4.0533982923157721</v>
          </cell>
          <cell r="F2609">
            <v>0</v>
          </cell>
          <cell r="G2609" t="str">
            <v>GREECE</v>
          </cell>
          <cell r="H2609">
            <v>7</v>
          </cell>
        </row>
        <row r="2610">
          <cell r="B2610" t="str">
            <v>43251EUR8</v>
          </cell>
          <cell r="C2610" t="str">
            <v>43251IRELAND</v>
          </cell>
          <cell r="D2610" t="str">
            <v>EUR8</v>
          </cell>
          <cell r="E2610">
            <v>4.0533982923157721</v>
          </cell>
          <cell r="F2610">
            <v>0</v>
          </cell>
          <cell r="G2610" t="str">
            <v>IRELAND</v>
          </cell>
          <cell r="H2610">
            <v>4</v>
          </cell>
        </row>
        <row r="2611">
          <cell r="B2611" t="str">
            <v>43251EUR9</v>
          </cell>
          <cell r="C2611" t="str">
            <v>43251ITALY</v>
          </cell>
          <cell r="D2611" t="str">
            <v>EUR9</v>
          </cell>
          <cell r="E2611">
            <v>4.0533982923157721</v>
          </cell>
          <cell r="F2611">
            <v>0</v>
          </cell>
          <cell r="G2611" t="str">
            <v>ITALY</v>
          </cell>
          <cell r="H2611">
            <v>4.5</v>
          </cell>
        </row>
        <row r="2612">
          <cell r="B2612" t="str">
            <v>43251EUR10</v>
          </cell>
          <cell r="C2612" t="str">
            <v>43251LATVIA</v>
          </cell>
          <cell r="D2612" t="str">
            <v>EUR10</v>
          </cell>
          <cell r="E2612">
            <v>4.0533982923157721</v>
          </cell>
          <cell r="F2612">
            <v>0</v>
          </cell>
          <cell r="G2612" t="str">
            <v>LATVIA</v>
          </cell>
          <cell r="H2612">
            <v>6</v>
          </cell>
        </row>
        <row r="2613">
          <cell r="B2613" t="str">
            <v>43251EUR11</v>
          </cell>
          <cell r="C2613" t="str">
            <v>43251LUXEMBOURG</v>
          </cell>
          <cell r="D2613" t="str">
            <v>EUR11</v>
          </cell>
          <cell r="E2613">
            <v>4.0533982923157721</v>
          </cell>
          <cell r="F2613">
            <v>0</v>
          </cell>
          <cell r="G2613" t="str">
            <v>LUXEMBOURG</v>
          </cell>
          <cell r="H2613">
            <v>4</v>
          </cell>
        </row>
        <row r="2614">
          <cell r="B2614" t="str">
            <v>43251EUR12</v>
          </cell>
          <cell r="C2614" t="str">
            <v>43251MALTA</v>
          </cell>
          <cell r="D2614" t="str">
            <v>EUR12</v>
          </cell>
          <cell r="E2614">
            <v>4.0533982923157721</v>
          </cell>
          <cell r="F2614">
            <v>0</v>
          </cell>
          <cell r="G2614" t="str">
            <v>MALTA</v>
          </cell>
          <cell r="H2614">
            <v>4</v>
          </cell>
        </row>
        <row r="2615">
          <cell r="B2615" t="str">
            <v>43251EUR13</v>
          </cell>
          <cell r="C2615" t="str">
            <v>43251MONTENEGRO</v>
          </cell>
          <cell r="D2615" t="str">
            <v>EUR13</v>
          </cell>
          <cell r="E2615">
            <v>4.0533982923157721</v>
          </cell>
          <cell r="F2615">
            <v>0</v>
          </cell>
          <cell r="G2615" t="str">
            <v>MONTENEGRO</v>
          </cell>
          <cell r="H2615">
            <v>6</v>
          </cell>
        </row>
        <row r="2616">
          <cell r="B2616" t="str">
            <v>43251EUR14</v>
          </cell>
          <cell r="C2616" t="str">
            <v>43251NETHERLANDS</v>
          </cell>
          <cell r="D2616" t="str">
            <v>EUR14</v>
          </cell>
          <cell r="E2616">
            <v>4.0533982923157721</v>
          </cell>
          <cell r="F2616">
            <v>0</v>
          </cell>
          <cell r="G2616" t="str">
            <v>NETHERLANDS</v>
          </cell>
          <cell r="H2616">
            <v>4</v>
          </cell>
        </row>
        <row r="2617">
          <cell r="B2617" t="str">
            <v>43251EUR15</v>
          </cell>
          <cell r="C2617" t="str">
            <v>43251PORTUGAL</v>
          </cell>
          <cell r="D2617" t="str">
            <v>EUR15</v>
          </cell>
          <cell r="E2617">
            <v>4.0533982923157721</v>
          </cell>
          <cell r="F2617">
            <v>0</v>
          </cell>
          <cell r="G2617" t="str">
            <v>PORTUGAL</v>
          </cell>
          <cell r="H2617">
            <v>4</v>
          </cell>
        </row>
        <row r="2618">
          <cell r="B2618" t="str">
            <v>43251EUR16</v>
          </cell>
          <cell r="C2618" t="str">
            <v>43251SLOVAKIA</v>
          </cell>
          <cell r="D2618" t="str">
            <v>EUR16</v>
          </cell>
          <cell r="E2618">
            <v>4.0533982923157721</v>
          </cell>
          <cell r="F2618">
            <v>0</v>
          </cell>
          <cell r="G2618" t="str">
            <v>SLOVAKIA</v>
          </cell>
          <cell r="H2618">
            <v>5</v>
          </cell>
        </row>
        <row r="2619">
          <cell r="B2619" t="str">
            <v>43251EUR17</v>
          </cell>
          <cell r="C2619" t="str">
            <v>43251SLOVENIA</v>
          </cell>
          <cell r="D2619" t="str">
            <v>EUR17</v>
          </cell>
          <cell r="E2619">
            <v>4.0533982923157721</v>
          </cell>
          <cell r="F2619">
            <v>0</v>
          </cell>
          <cell r="G2619" t="str">
            <v>SLOVENIA</v>
          </cell>
          <cell r="H2619">
            <v>6</v>
          </cell>
        </row>
        <row r="2620">
          <cell r="B2620" t="str">
            <v>43251EUR18</v>
          </cell>
          <cell r="C2620" t="str">
            <v>43251SPAIN</v>
          </cell>
          <cell r="D2620" t="str">
            <v>EUR18</v>
          </cell>
          <cell r="E2620">
            <v>4.0533982923157721</v>
          </cell>
          <cell r="F2620">
            <v>0</v>
          </cell>
          <cell r="G2620" t="str">
            <v>SPAIN</v>
          </cell>
          <cell r="H2620">
            <v>4</v>
          </cell>
        </row>
        <row r="2621">
          <cell r="B2621" t="str">
            <v>43251EUR20</v>
          </cell>
          <cell r="C2621" t="str">
            <v>43251AUSTRIA</v>
          </cell>
          <cell r="D2621" t="str">
            <v>EUR20</v>
          </cell>
          <cell r="E2621">
            <v>4.0533982923157721</v>
          </cell>
          <cell r="F2621">
            <v>0</v>
          </cell>
          <cell r="G2621" t="str">
            <v>AUSTRIA</v>
          </cell>
          <cell r="H2621">
            <v>4</v>
          </cell>
        </row>
        <row r="2622">
          <cell r="B2622" t="str">
            <v>43251Eastern European Institutions</v>
          </cell>
          <cell r="C2622" t="str">
            <v>43251Eastern European Institutions</v>
          </cell>
          <cell r="D2622" t="str">
            <v>Eastern European Institutions</v>
          </cell>
          <cell r="E2622">
            <v>0</v>
          </cell>
          <cell r="G2622" t="str">
            <v>Eastern European Institutions</v>
          </cell>
          <cell r="H2622">
            <v>5</v>
          </cell>
        </row>
        <row r="2623">
          <cell r="B2623" t="str">
            <v>43281AED</v>
          </cell>
          <cell r="C2623" t="str">
            <v>43281U. A. E.</v>
          </cell>
          <cell r="D2623" t="str">
            <v>AED</v>
          </cell>
          <cell r="E2623">
            <v>4.9765622077347951</v>
          </cell>
          <cell r="F2623">
            <v>2.4900000000000002</v>
          </cell>
          <cell r="G2623" t="str">
            <v>U. A. E.</v>
          </cell>
          <cell r="H2623">
            <v>5</v>
          </cell>
        </row>
        <row r="2624">
          <cell r="B2624" t="str">
            <v>43281ARS</v>
          </cell>
          <cell r="C2624" t="str">
            <v>43281ARGENTINA</v>
          </cell>
          <cell r="D2624" t="str">
            <v>ARS</v>
          </cell>
          <cell r="E2624">
            <v>16.1758774448334</v>
          </cell>
          <cell r="F2624">
            <v>19.047500000000003</v>
          </cell>
          <cell r="G2624" t="str">
            <v>ARGENTINA</v>
          </cell>
          <cell r="H2624">
            <v>6</v>
          </cell>
        </row>
        <row r="2625">
          <cell r="B2625" t="str">
            <v>43281AUD</v>
          </cell>
          <cell r="C2625" t="str">
            <v>43281AUSTRALIA</v>
          </cell>
          <cell r="D2625" t="str">
            <v>AUD</v>
          </cell>
          <cell r="E2625">
            <v>4.6859358608191828</v>
          </cell>
          <cell r="F2625">
            <v>2.3069999999999999</v>
          </cell>
          <cell r="G2625" t="str">
            <v>AUSTRALIA</v>
          </cell>
          <cell r="H2625">
            <v>3.3639078507616462</v>
          </cell>
        </row>
        <row r="2626">
          <cell r="B2626" t="str">
            <v>43281BDT</v>
          </cell>
          <cell r="C2626" t="str">
            <v>43281BANGLADESH</v>
          </cell>
          <cell r="D2626" t="str">
            <v>BDT</v>
          </cell>
          <cell r="E2626">
            <v>8.1038783987598606</v>
          </cell>
          <cell r="F2626">
            <v>5.9855000000000009</v>
          </cell>
          <cell r="G2626" t="str">
            <v>BANGLADESH</v>
          </cell>
          <cell r="H2626">
            <v>6</v>
          </cell>
        </row>
        <row r="2627">
          <cell r="B2627" t="str">
            <v>43281BRL</v>
          </cell>
          <cell r="C2627" t="str">
            <v>43281BRAZIL</v>
          </cell>
          <cell r="D2627" t="str">
            <v>BRL</v>
          </cell>
          <cell r="E2627">
            <v>6.2520890993651248</v>
          </cell>
          <cell r="F2627">
            <v>3.8410000000000002</v>
          </cell>
          <cell r="G2627" t="str">
            <v>BRAZIL</v>
          </cell>
          <cell r="H2627">
            <v>7</v>
          </cell>
        </row>
        <row r="2628">
          <cell r="B2628" t="str">
            <v>43281BWP</v>
          </cell>
          <cell r="C2628" t="str">
            <v>43281BOTSWANA</v>
          </cell>
          <cell r="D2628" t="str">
            <v>BWP</v>
          </cell>
          <cell r="E2628">
            <v>6.0999614689788242</v>
          </cell>
          <cell r="F2628">
            <v>3.75</v>
          </cell>
          <cell r="G2628" t="str">
            <v>BOTSWANA</v>
          </cell>
          <cell r="H2628">
            <v>6</v>
          </cell>
        </row>
        <row r="2629">
          <cell r="B2629" t="str">
            <v>43281CAD</v>
          </cell>
          <cell r="C2629" t="str">
            <v>43281CANADA</v>
          </cell>
          <cell r="D2629" t="str">
            <v>CAD</v>
          </cell>
          <cell r="E2629">
            <v>4.3629928217084926</v>
          </cell>
          <cell r="F2629">
            <v>2.1564999999999999</v>
          </cell>
          <cell r="G2629" t="str">
            <v>CANADA</v>
          </cell>
          <cell r="H2629">
            <v>4</v>
          </cell>
        </row>
        <row r="2630">
          <cell r="B2630" t="str">
            <v>43281CHF</v>
          </cell>
          <cell r="C2630" t="str">
            <v>43281SWITZERLAND</v>
          </cell>
          <cell r="D2630" t="str">
            <v>CHF</v>
          </cell>
          <cell r="E2630">
            <v>3.1813212363103895</v>
          </cell>
          <cell r="F2630">
            <v>0.84000000000000008</v>
          </cell>
          <cell r="G2630" t="str">
            <v>SWITZERLAND</v>
          </cell>
          <cell r="H2630">
            <v>4</v>
          </cell>
        </row>
        <row r="2631">
          <cell r="B2631" t="str">
            <v>43281CLP</v>
          </cell>
          <cell r="C2631" t="str">
            <v>43281CHILE</v>
          </cell>
          <cell r="D2631" t="str">
            <v>CLP</v>
          </cell>
          <cell r="E2631">
            <v>5.1771119987088534</v>
          </cell>
          <cell r="F2631">
            <v>2.7450000000000001</v>
          </cell>
          <cell r="G2631" t="str">
            <v>CHILE</v>
          </cell>
          <cell r="H2631">
            <v>5</v>
          </cell>
        </row>
        <row r="2632">
          <cell r="B2632" t="str">
            <v>43281CNY</v>
          </cell>
          <cell r="C2632" t="str">
            <v>43281CHINA</v>
          </cell>
          <cell r="D2632" t="str">
            <v>CNY</v>
          </cell>
          <cell r="E2632">
            <v>4.9349212201139894</v>
          </cell>
          <cell r="F2632">
            <v>2.5475000000000003</v>
          </cell>
          <cell r="G2632" t="str">
            <v>CHINA</v>
          </cell>
          <cell r="H2632">
            <v>5</v>
          </cell>
        </row>
        <row r="2633">
          <cell r="B2633" t="str">
            <v>43281COP</v>
          </cell>
          <cell r="C2633" t="str">
            <v>43281COLOMBIA</v>
          </cell>
          <cell r="D2633" t="str">
            <v>COP</v>
          </cell>
          <cell r="E2633">
            <v>5.4483824603649014</v>
          </cell>
          <cell r="F2633">
            <v>3.4569999999999999</v>
          </cell>
          <cell r="G2633" t="str">
            <v>COLOMBIA</v>
          </cell>
          <cell r="H2633">
            <v>5</v>
          </cell>
        </row>
        <row r="2634">
          <cell r="B2634" t="str">
            <v>43281CZK</v>
          </cell>
          <cell r="C2634" t="str">
            <v>43281CZECH REPUBLIC</v>
          </cell>
          <cell r="D2634" t="str">
            <v>CZK</v>
          </cell>
          <cell r="E2634">
            <v>4.3147178224534324</v>
          </cell>
          <cell r="F2634">
            <v>2.1619999999999999</v>
          </cell>
          <cell r="G2634" t="str">
            <v>CZECH REPUBLIC</v>
          </cell>
          <cell r="H2634">
            <v>5</v>
          </cell>
        </row>
        <row r="2635">
          <cell r="B2635" t="str">
            <v>43281DKK</v>
          </cell>
          <cell r="C2635" t="str">
            <v>43281DENMARK</v>
          </cell>
          <cell r="D2635" t="str">
            <v>DKK</v>
          </cell>
          <cell r="E2635">
            <v>4.0697167716395457</v>
          </cell>
          <cell r="F2635">
            <v>1.5499999999999998</v>
          </cell>
          <cell r="G2635" t="str">
            <v>DENMARK</v>
          </cell>
          <cell r="H2635">
            <v>4</v>
          </cell>
        </row>
        <row r="2636">
          <cell r="B2636" t="str">
            <v>43281EGP</v>
          </cell>
          <cell r="C2636" t="str">
            <v>43281EGYPT</v>
          </cell>
          <cell r="D2636" t="str">
            <v>EGP</v>
          </cell>
          <cell r="E2636">
            <v>13.639206522608086</v>
          </cell>
          <cell r="F2636">
            <v>16.529</v>
          </cell>
          <cell r="G2636" t="str">
            <v>EGYPT</v>
          </cell>
          <cell r="H2636">
            <v>5</v>
          </cell>
        </row>
        <row r="2637">
          <cell r="B2637" t="str">
            <v>43281EUR</v>
          </cell>
          <cell r="D2637" t="str">
            <v>EUR</v>
          </cell>
          <cell r="E2637">
            <v>4.0533982923157721</v>
          </cell>
          <cell r="F2637">
            <v>1.5775000000000001</v>
          </cell>
          <cell r="H2637">
            <v>0</v>
          </cell>
        </row>
        <row r="2638">
          <cell r="B2638" t="str">
            <v>43281GBP</v>
          </cell>
          <cell r="C2638" t="str">
            <v>43281UNITED KINGDOM</v>
          </cell>
          <cell r="D2638" t="str">
            <v>GBP</v>
          </cell>
          <cell r="E2638">
            <v>4.4019417394370022</v>
          </cell>
          <cell r="F2638">
            <v>2.4515000000000002</v>
          </cell>
          <cell r="G2638" t="str">
            <v>UNITED KINGDOM</v>
          </cell>
          <cell r="H2638">
            <v>4</v>
          </cell>
        </row>
        <row r="2639">
          <cell r="B2639" t="str">
            <v>43281GEL</v>
          </cell>
          <cell r="C2639" t="str">
            <v>43281GEORGIA</v>
          </cell>
          <cell r="D2639" t="str">
            <v>GEL</v>
          </cell>
          <cell r="E2639">
            <v>5.3749190213799682</v>
          </cell>
          <cell r="F2639">
            <v>3.3130000000000006</v>
          </cell>
          <cell r="G2639" t="str">
            <v>GEORGIA</v>
          </cell>
          <cell r="H2639">
            <v>6</v>
          </cell>
        </row>
        <row r="2640">
          <cell r="B2640" t="str">
            <v>43281HKD</v>
          </cell>
          <cell r="C2640" t="str">
            <v>43281HONG KONG</v>
          </cell>
          <cell r="D2640" t="str">
            <v>HKD</v>
          </cell>
          <cell r="E2640">
            <v>4.549843711580829</v>
          </cell>
          <cell r="F2640">
            <v>2.4900000000000002</v>
          </cell>
          <cell r="G2640" t="str">
            <v>HONG KONG</v>
          </cell>
          <cell r="H2640">
            <v>4</v>
          </cell>
        </row>
        <row r="2641">
          <cell r="B2641" t="str">
            <v>43281GHS</v>
          </cell>
          <cell r="C2641" t="str">
            <v>43281GHANA</v>
          </cell>
          <cell r="D2641" t="str">
            <v>GHS</v>
          </cell>
          <cell r="E2641">
            <v>9.7914061284129872</v>
          </cell>
          <cell r="F2641">
            <v>8.3640000000000008</v>
          </cell>
          <cell r="G2641" t="str">
            <v>GHANA</v>
          </cell>
          <cell r="H2641">
            <v>6</v>
          </cell>
        </row>
        <row r="2642">
          <cell r="B2642" t="str">
            <v>43281HRK</v>
          </cell>
          <cell r="C2642" t="str">
            <v>43281CROATIA</v>
          </cell>
          <cell r="D2642" t="str">
            <v>HRK</v>
          </cell>
          <cell r="E2642">
            <v>3.86533022719893</v>
          </cell>
          <cell r="F2642">
            <v>1.492</v>
          </cell>
          <cell r="G2642" t="str">
            <v>CROATIA</v>
          </cell>
          <cell r="H2642">
            <v>6</v>
          </cell>
        </row>
        <row r="2643">
          <cell r="B2643" t="str">
            <v>43281HUF</v>
          </cell>
          <cell r="C2643" t="str">
            <v>43281HUNGARY</v>
          </cell>
          <cell r="D2643" t="str">
            <v>HUF</v>
          </cell>
          <cell r="E2643">
            <v>5.2682170776554829</v>
          </cell>
          <cell r="F2643">
            <v>3.01</v>
          </cell>
          <cell r="G2643" t="str">
            <v>HUNGARY</v>
          </cell>
          <cell r="H2643">
            <v>5</v>
          </cell>
        </row>
        <row r="2644">
          <cell r="B2644" t="str">
            <v>43281IDR</v>
          </cell>
          <cell r="C2644" t="str">
            <v>43281INDONESIA</v>
          </cell>
          <cell r="D2644" t="str">
            <v>IDR</v>
          </cell>
          <cell r="E2644">
            <v>5.6468905422355755</v>
          </cell>
          <cell r="F2644">
            <v>3.4615</v>
          </cell>
          <cell r="G2644" t="str">
            <v>INDONESIA</v>
          </cell>
          <cell r="H2644">
            <v>5</v>
          </cell>
        </row>
        <row r="2645">
          <cell r="B2645" t="str">
            <v>43281ILS</v>
          </cell>
          <cell r="C2645" t="str">
            <v>43281ISRAEL</v>
          </cell>
          <cell r="D2645" t="str">
            <v>ILS</v>
          </cell>
          <cell r="E2645">
            <v>3.812250819199229</v>
          </cell>
          <cell r="F2645">
            <v>1.0230000000000001</v>
          </cell>
          <cell r="G2645" t="str">
            <v>ISRAEL</v>
          </cell>
          <cell r="H2645">
            <v>4</v>
          </cell>
        </row>
        <row r="2646">
          <cell r="B2646" t="str">
            <v>43281INR</v>
          </cell>
          <cell r="C2646" t="str">
            <v>43281INDIA</v>
          </cell>
          <cell r="D2646" t="str">
            <v>INR</v>
          </cell>
          <cell r="E2646">
            <v>7.1267796879755743</v>
          </cell>
          <cell r="F2646">
            <v>4.9545000000000003</v>
          </cell>
          <cell r="G2646" t="str">
            <v>INDIA</v>
          </cell>
          <cell r="H2646">
            <v>5</v>
          </cell>
        </row>
        <row r="2647">
          <cell r="B2647" t="str">
            <v>43281IQD</v>
          </cell>
          <cell r="C2647" t="str">
            <v>43281IRAQ</v>
          </cell>
          <cell r="D2647" t="str">
            <v>IQD</v>
          </cell>
          <cell r="E2647">
            <v>4.2500000000000018</v>
          </cell>
          <cell r="F2647">
            <v>2</v>
          </cell>
          <cell r="G2647" t="str">
            <v>IRAQ</v>
          </cell>
          <cell r="H2647">
            <v>6</v>
          </cell>
        </row>
        <row r="2648">
          <cell r="B2648" t="str">
            <v>43281JPY</v>
          </cell>
          <cell r="C2648" t="str">
            <v>43281JAPAN</v>
          </cell>
          <cell r="D2648" t="str">
            <v>JPY</v>
          </cell>
          <cell r="E2648">
            <v>3.476161867078579</v>
          </cell>
          <cell r="F2648">
            <v>1.109</v>
          </cell>
          <cell r="G2648" t="str">
            <v>JAPAN</v>
          </cell>
          <cell r="H2648">
            <v>4</v>
          </cell>
        </row>
        <row r="2649">
          <cell r="B2649" t="str">
            <v>43281KES</v>
          </cell>
          <cell r="C2649" t="str">
            <v>43281KENYA</v>
          </cell>
          <cell r="D2649" t="str">
            <v>KES</v>
          </cell>
          <cell r="E2649">
            <v>7.2163828523647258</v>
          </cell>
          <cell r="F2649">
            <v>4.9160000000000004</v>
          </cell>
          <cell r="G2649" t="str">
            <v>KENYA</v>
          </cell>
          <cell r="H2649">
            <v>7.5</v>
          </cell>
        </row>
        <row r="2650">
          <cell r="B2650" t="str">
            <v>43281JOD</v>
          </cell>
          <cell r="C2650" t="str">
            <v>43281JORDAN</v>
          </cell>
          <cell r="D2650" t="str">
            <v>JOD</v>
          </cell>
          <cell r="E2650">
            <v>4.5363507664002247</v>
          </cell>
          <cell r="F2650">
            <v>2.4900000000000002</v>
          </cell>
          <cell r="G2650" t="str">
            <v>JORDAN</v>
          </cell>
          <cell r="H2650">
            <v>6</v>
          </cell>
        </row>
        <row r="2651">
          <cell r="B2651" t="str">
            <v>43281KHR</v>
          </cell>
          <cell r="C2651" t="str">
            <v>43281CAMBODIA</v>
          </cell>
          <cell r="D2651" t="str">
            <v>KHR</v>
          </cell>
          <cell r="E2651">
            <v>5.3931495883768257</v>
          </cell>
          <cell r="F2651">
            <v>3.2510000000000003</v>
          </cell>
          <cell r="G2651" t="str">
            <v>CAMBODIA</v>
          </cell>
          <cell r="H2651">
            <v>6</v>
          </cell>
        </row>
        <row r="2652">
          <cell r="B2652" t="str">
            <v>43281KRW</v>
          </cell>
          <cell r="C2652" t="str">
            <v>43281KOREA SOUTH(REPUBLIC OF KOREA)</v>
          </cell>
          <cell r="D2652" t="str">
            <v>KRW</v>
          </cell>
          <cell r="E2652">
            <v>4.1799442757868546</v>
          </cell>
          <cell r="F2652">
            <v>1.8250000000000002</v>
          </cell>
          <cell r="G2652" t="str">
            <v>KOREA SOUTH(REPUBLIC OF KOREA)</v>
          </cell>
          <cell r="H2652">
            <v>5</v>
          </cell>
        </row>
        <row r="2653">
          <cell r="B2653" t="str">
            <v>43281KWD</v>
          </cell>
          <cell r="C2653" t="str">
            <v>43281KUWAIT</v>
          </cell>
          <cell r="D2653" t="str">
            <v>KWD</v>
          </cell>
          <cell r="E2653">
            <v>5.2691583576135494</v>
          </cell>
          <cell r="F2653">
            <v>3.1000000000000005</v>
          </cell>
          <cell r="G2653" t="str">
            <v>KUWAIT</v>
          </cell>
          <cell r="H2653">
            <v>6</v>
          </cell>
        </row>
        <row r="2654">
          <cell r="B2654" t="str">
            <v>43281LKR</v>
          </cell>
          <cell r="C2654" t="str">
            <v>43281SRI LANKA</v>
          </cell>
          <cell r="D2654" t="str">
            <v>LKR</v>
          </cell>
          <cell r="E2654">
            <v>7.0997856885606039</v>
          </cell>
          <cell r="F2654">
            <v>4.7995000000000001</v>
          </cell>
          <cell r="G2654" t="str">
            <v>SRI LANKA</v>
          </cell>
          <cell r="H2654">
            <v>6</v>
          </cell>
        </row>
        <row r="2655">
          <cell r="B2655" t="str">
            <v>43281KZT</v>
          </cell>
          <cell r="C2655" t="str">
            <v>43281KAZAKHSTAN</v>
          </cell>
          <cell r="D2655" t="str">
            <v>KZT</v>
          </cell>
          <cell r="E2655">
            <v>7.2005446867270875</v>
          </cell>
          <cell r="F2655">
            <v>5.9914999999999994</v>
          </cell>
          <cell r="G2655" t="str">
            <v>KAZAKHSTAN</v>
          </cell>
          <cell r="H2655">
            <v>6</v>
          </cell>
        </row>
        <row r="2656">
          <cell r="B2656" t="str">
            <v>43281MAD</v>
          </cell>
          <cell r="C2656" t="str">
            <v>43281MOROCCO</v>
          </cell>
          <cell r="D2656" t="str">
            <v>MAD</v>
          </cell>
          <cell r="E2656">
            <v>4.1297166463972115</v>
          </cell>
          <cell r="F2656">
            <v>1.6999999999999997</v>
          </cell>
          <cell r="G2656" t="str">
            <v>MOROCCO</v>
          </cell>
          <cell r="H2656">
            <v>6</v>
          </cell>
        </row>
        <row r="2657">
          <cell r="B2657" t="str">
            <v>43281MXN</v>
          </cell>
          <cell r="C2657" t="str">
            <v>43281MEXICO</v>
          </cell>
          <cell r="D2657" t="str">
            <v>MXN</v>
          </cell>
          <cell r="E2657">
            <v>5.5472396560453587</v>
          </cell>
          <cell r="F2657">
            <v>3.7474999999999996</v>
          </cell>
          <cell r="G2657" t="str">
            <v>MEXICO</v>
          </cell>
          <cell r="H2657">
            <v>5</v>
          </cell>
        </row>
        <row r="2658">
          <cell r="B2658" t="str">
            <v>43281MYR</v>
          </cell>
          <cell r="C2658" t="str">
            <v>43281MALAYSIA</v>
          </cell>
          <cell r="D2658" t="str">
            <v>MYR</v>
          </cell>
          <cell r="E2658">
            <v>4.823345829513296</v>
          </cell>
          <cell r="F2658">
            <v>2.7879999999999998</v>
          </cell>
          <cell r="G2658" t="str">
            <v>MALAYSIA</v>
          </cell>
          <cell r="H2658">
            <v>5</v>
          </cell>
        </row>
        <row r="2659">
          <cell r="B2659" t="str">
            <v>43281NGN</v>
          </cell>
          <cell r="C2659" t="str">
            <v>43281NIGERIA</v>
          </cell>
          <cell r="D2659" t="str">
            <v>NGN</v>
          </cell>
          <cell r="E2659">
            <v>16.648723451339723</v>
          </cell>
          <cell r="F2659">
            <v>14.410500000000003</v>
          </cell>
          <cell r="G2659" t="str">
            <v>NIGERIA</v>
          </cell>
          <cell r="H2659">
            <v>6</v>
          </cell>
        </row>
        <row r="2660">
          <cell r="B2660" t="str">
            <v>43281NOK</v>
          </cell>
          <cell r="C2660" t="str">
            <v>43281NORWAY</v>
          </cell>
          <cell r="D2660" t="str">
            <v>NOK</v>
          </cell>
          <cell r="E2660">
            <v>4.2299921522459796</v>
          </cell>
          <cell r="F2660">
            <v>1.9499999999999997</v>
          </cell>
          <cell r="G2660" t="str">
            <v>NORWAY</v>
          </cell>
          <cell r="H2660">
            <v>4</v>
          </cell>
        </row>
        <row r="2661">
          <cell r="B2661" t="str">
            <v>43281NZD</v>
          </cell>
          <cell r="C2661" t="str">
            <v>43281NEW ZEALAND</v>
          </cell>
          <cell r="D2661" t="str">
            <v>NZD</v>
          </cell>
          <cell r="E2661">
            <v>4.2091151889093217</v>
          </cell>
          <cell r="F2661">
            <v>1.8754999999999997</v>
          </cell>
          <cell r="G2661" t="str">
            <v>NEW ZEALAND</v>
          </cell>
          <cell r="H2661">
            <v>4</v>
          </cell>
        </row>
        <row r="2662">
          <cell r="B2662" t="str">
            <v>43281OMR</v>
          </cell>
          <cell r="C2662" t="str">
            <v>43281OMAN</v>
          </cell>
          <cell r="D2662" t="str">
            <v>OMR</v>
          </cell>
          <cell r="E2662">
            <v>5.3094832395648419</v>
          </cell>
          <cell r="F2662">
            <v>2.4900000000000002</v>
          </cell>
          <cell r="G2662" t="str">
            <v>OMAN</v>
          </cell>
          <cell r="H2662">
            <v>6</v>
          </cell>
        </row>
        <row r="2663">
          <cell r="B2663" t="str">
            <v>43281PEN</v>
          </cell>
          <cell r="C2663" t="str">
            <v>43281PERU</v>
          </cell>
          <cell r="D2663" t="str">
            <v>PEN</v>
          </cell>
          <cell r="E2663">
            <v>4.1468520592144156</v>
          </cell>
          <cell r="F2663">
            <v>1.7610000000000001</v>
          </cell>
          <cell r="G2663" t="str">
            <v>PERU</v>
          </cell>
          <cell r="H2663">
            <v>5</v>
          </cell>
        </row>
        <row r="2664">
          <cell r="B2664" t="str">
            <v>43281PGK</v>
          </cell>
          <cell r="C2664" t="str">
            <v>43281PAPUA NEW GUINEA</v>
          </cell>
          <cell r="D2664" t="str">
            <v>PGK</v>
          </cell>
          <cell r="E2664">
            <v>4.7740010762102028</v>
          </cell>
          <cell r="F2664">
            <v>2.7104999999999997</v>
          </cell>
          <cell r="G2664" t="str">
            <v>PAPUA NEW GUINEA</v>
          </cell>
          <cell r="H2664">
            <v>6</v>
          </cell>
        </row>
        <row r="2665">
          <cell r="B2665" t="str">
            <v>43281PHP</v>
          </cell>
          <cell r="C2665" t="str">
            <v>43281PHILIPPINES</v>
          </cell>
          <cell r="D2665" t="str">
            <v>PHP</v>
          </cell>
          <cell r="E2665">
            <v>5.7348373287454049</v>
          </cell>
          <cell r="F2665">
            <v>3.9984999999999999</v>
          </cell>
          <cell r="G2665" t="str">
            <v>PHILIPPINES</v>
          </cell>
          <cell r="H2665">
            <v>5</v>
          </cell>
        </row>
        <row r="2666">
          <cell r="B2666" t="str">
            <v>43281PKR</v>
          </cell>
          <cell r="C2666" t="str">
            <v>43281PAKISTAN</v>
          </cell>
          <cell r="D2666" t="str">
            <v>PKR</v>
          </cell>
          <cell r="E2666">
            <v>7.29017488306856</v>
          </cell>
          <cell r="F2666">
            <v>5.1005000000000003</v>
          </cell>
          <cell r="G2666" t="str">
            <v>PAKISTAN</v>
          </cell>
          <cell r="H2666">
            <v>6</v>
          </cell>
        </row>
        <row r="2667">
          <cell r="B2667" t="str">
            <v>43281PLN</v>
          </cell>
          <cell r="C2667" t="str">
            <v>43281POLAND</v>
          </cell>
          <cell r="D2667" t="str">
            <v>PLN</v>
          </cell>
          <cell r="E2667">
            <v>4.763798302072745</v>
          </cell>
          <cell r="F2667">
            <v>2.5345</v>
          </cell>
          <cell r="G2667" t="str">
            <v>POLAND</v>
          </cell>
          <cell r="H2667">
            <v>4.5</v>
          </cell>
        </row>
        <row r="2668">
          <cell r="B2668" t="str">
            <v>43281QAR</v>
          </cell>
          <cell r="C2668" t="str">
            <v>43281QATAR</v>
          </cell>
          <cell r="D2668" t="str">
            <v>QAR</v>
          </cell>
          <cell r="E2668">
            <v>4.9382852669234847</v>
          </cell>
          <cell r="F2668">
            <v>2.4900000000000002</v>
          </cell>
          <cell r="G2668" t="str">
            <v>QATAR</v>
          </cell>
          <cell r="H2668">
            <v>6</v>
          </cell>
        </row>
        <row r="2669">
          <cell r="B2669" t="str">
            <v>43281RON</v>
          </cell>
          <cell r="C2669" t="str">
            <v>43281ROMANIA</v>
          </cell>
          <cell r="D2669" t="str">
            <v>RON</v>
          </cell>
          <cell r="E2669">
            <v>5.6525231320469196</v>
          </cell>
          <cell r="F2669">
            <v>3.8639999999999999</v>
          </cell>
          <cell r="G2669" t="str">
            <v>ROMANIA</v>
          </cell>
          <cell r="H2669">
            <v>6</v>
          </cell>
        </row>
        <row r="2670">
          <cell r="B2670" t="str">
            <v>43281RUB</v>
          </cell>
          <cell r="C2670" t="str">
            <v>43281RUSSIAN FEDERATION</v>
          </cell>
          <cell r="D2670" t="str">
            <v>RUB</v>
          </cell>
          <cell r="E2670">
            <v>5.9488620798836358</v>
          </cell>
          <cell r="F2670">
            <v>3.25</v>
          </cell>
          <cell r="G2670" t="str">
            <v>RUSSIAN FEDERATION</v>
          </cell>
          <cell r="H2670">
            <v>8</v>
          </cell>
        </row>
        <row r="2671">
          <cell r="B2671" t="str">
            <v>43281SAR</v>
          </cell>
          <cell r="C2671" t="str">
            <v>43281SAUDI ARABIA</v>
          </cell>
          <cell r="D2671" t="str">
            <v>SAR</v>
          </cell>
          <cell r="E2671">
            <v>4.703978976525506</v>
          </cell>
          <cell r="F2671">
            <v>2.4900000000000002</v>
          </cell>
          <cell r="G2671" t="str">
            <v>SAUDI ARABIA</v>
          </cell>
          <cell r="H2671">
            <v>5</v>
          </cell>
        </row>
        <row r="2672">
          <cell r="B2672" t="str">
            <v>43281SEK</v>
          </cell>
          <cell r="C2672" t="str">
            <v>43281SWEDEN</v>
          </cell>
          <cell r="D2672" t="str">
            <v>SEK</v>
          </cell>
          <cell r="E2672">
            <v>4.0598076330788748</v>
          </cell>
          <cell r="F2672">
            <v>1.5749999999999997</v>
          </cell>
          <cell r="G2672" t="str">
            <v>SWEDEN</v>
          </cell>
          <cell r="H2672">
            <v>4</v>
          </cell>
        </row>
        <row r="2673">
          <cell r="B2673" t="str">
            <v>43281SGD</v>
          </cell>
          <cell r="C2673" t="str">
            <v>43281SINGAPORE</v>
          </cell>
          <cell r="D2673" t="str">
            <v>SGD</v>
          </cell>
          <cell r="E2673">
            <v>3.312166572992651</v>
          </cell>
          <cell r="F2673">
            <v>1.1080000000000001</v>
          </cell>
          <cell r="G2673" t="str">
            <v>SINGAPORE</v>
          </cell>
          <cell r="H2673">
            <v>4</v>
          </cell>
        </row>
        <row r="2674">
          <cell r="B2674" t="str">
            <v>43281TZS</v>
          </cell>
          <cell r="C2674" t="str">
            <v>43281TANZANIA, UNITED REPUBLIC OF</v>
          </cell>
          <cell r="D2674" t="str">
            <v>TZS</v>
          </cell>
          <cell r="E2674">
            <v>7.2179804773861358</v>
          </cell>
          <cell r="F2674">
            <v>4.92</v>
          </cell>
          <cell r="G2674" t="str">
            <v>TANZANIA, UNITED REPUBLIC OF</v>
          </cell>
          <cell r="H2674">
            <v>6</v>
          </cell>
        </row>
        <row r="2675">
          <cell r="B2675" t="str">
            <v>43281THB</v>
          </cell>
          <cell r="C2675" t="str">
            <v>43281THAILAND</v>
          </cell>
          <cell r="D2675" t="str">
            <v>THB</v>
          </cell>
          <cell r="E2675">
            <v>3.5240979583869994</v>
          </cell>
          <cell r="F2675">
            <v>1.0370000000000001</v>
          </cell>
          <cell r="G2675" t="str">
            <v>THAILAND</v>
          </cell>
          <cell r="H2675">
            <v>5</v>
          </cell>
        </row>
        <row r="2676">
          <cell r="B2676" t="str">
            <v>43281TRY</v>
          </cell>
          <cell r="C2676" t="str">
            <v>43281TURKEY</v>
          </cell>
          <cell r="D2676" t="str">
            <v>TRY</v>
          </cell>
          <cell r="E2676">
            <v>11.622346827687995</v>
          </cell>
          <cell r="F2676">
            <v>10.949</v>
          </cell>
          <cell r="G2676" t="str">
            <v>TURKEY</v>
          </cell>
          <cell r="H2676">
            <v>6</v>
          </cell>
        </row>
        <row r="2677">
          <cell r="B2677" t="str">
            <v>43281TWD</v>
          </cell>
          <cell r="C2677" t="str">
            <v>43281TAIWAN</v>
          </cell>
          <cell r="D2677" t="str">
            <v>TWD</v>
          </cell>
          <cell r="E2677">
            <v>3.9694214099952365</v>
          </cell>
          <cell r="F2677">
            <v>1.3</v>
          </cell>
          <cell r="G2677" t="str">
            <v>TAIWAN</v>
          </cell>
          <cell r="H2677">
            <v>5</v>
          </cell>
        </row>
        <row r="2678">
          <cell r="B2678" t="str">
            <v>43281UAH</v>
          </cell>
          <cell r="C2678" t="str">
            <v>43281UKRAINE</v>
          </cell>
          <cell r="D2678" t="str">
            <v>UAH</v>
          </cell>
          <cell r="E2678">
            <v>9.4308843600138506</v>
          </cell>
          <cell r="F2678">
            <v>9.495000000000001</v>
          </cell>
          <cell r="G2678" t="str">
            <v>UKRAINE</v>
          </cell>
          <cell r="H2678">
            <v>6</v>
          </cell>
        </row>
        <row r="2679">
          <cell r="B2679" t="str">
            <v>43281USD</v>
          </cell>
          <cell r="C2679" t="str">
            <v>43281UNITED STATES</v>
          </cell>
          <cell r="D2679" t="str">
            <v>USD</v>
          </cell>
          <cell r="E2679">
            <v>4.4933926525857961</v>
          </cell>
          <cell r="F2679">
            <v>2.4900000000000002</v>
          </cell>
          <cell r="G2679" t="str">
            <v>UNITED STATES</v>
          </cell>
          <cell r="H2679">
            <v>4</v>
          </cell>
        </row>
        <row r="2680">
          <cell r="B2680" t="str">
            <v>43281VND</v>
          </cell>
          <cell r="C2680" t="str">
            <v>43281VIET NAM</v>
          </cell>
          <cell r="D2680" t="str">
            <v>VND</v>
          </cell>
          <cell r="E2680">
            <v>6.2099691952184157</v>
          </cell>
          <cell r="F2680">
            <v>3.8999999999999995</v>
          </cell>
          <cell r="G2680" t="str">
            <v>VIET NAM</v>
          </cell>
          <cell r="H2680">
            <v>6</v>
          </cell>
        </row>
        <row r="2681">
          <cell r="B2681" t="str">
            <v>43281XOF</v>
          </cell>
          <cell r="C2681" t="str">
            <v>43281MALI</v>
          </cell>
          <cell r="D2681" t="str">
            <v>XOF</v>
          </cell>
          <cell r="E2681">
            <v>4.0833610505822939</v>
          </cell>
          <cell r="F2681">
            <v>1.51</v>
          </cell>
          <cell r="G2681" t="str">
            <v>MALI</v>
          </cell>
          <cell r="H2681">
            <v>6</v>
          </cell>
        </row>
        <row r="2682">
          <cell r="B2682" t="str">
            <v>43281ZAR</v>
          </cell>
          <cell r="C2682" t="str">
            <v>43281SOUTH AFRICA</v>
          </cell>
          <cell r="D2682" t="str">
            <v>ZAR</v>
          </cell>
          <cell r="E2682">
            <v>7.6571510417374791</v>
          </cell>
          <cell r="F2682">
            <v>5.2855000000000008</v>
          </cell>
          <cell r="G2682" t="str">
            <v>SOUTH AFRICA</v>
          </cell>
          <cell r="H2682">
            <v>5</v>
          </cell>
        </row>
        <row r="2683">
          <cell r="B2683" t="str">
            <v>43281ZMW</v>
          </cell>
          <cell r="C2683" t="str">
            <v>43281ZAMBIA</v>
          </cell>
          <cell r="D2683" t="str">
            <v>ZMW</v>
          </cell>
          <cell r="E2683">
            <v>10.298556318956157</v>
          </cell>
          <cell r="F2683">
            <v>8.1215000000000011</v>
          </cell>
          <cell r="G2683" t="str">
            <v>ZAMBIA</v>
          </cell>
          <cell r="H2683">
            <v>6</v>
          </cell>
        </row>
        <row r="2684">
          <cell r="B2684" t="str">
            <v>43281EUR1</v>
          </cell>
          <cell r="C2684" t="str">
            <v>43281BELGIUM</v>
          </cell>
          <cell r="D2684" t="str">
            <v>EUR1</v>
          </cell>
          <cell r="E2684">
            <v>4.0533982923157721</v>
          </cell>
          <cell r="F2684">
            <v>0</v>
          </cell>
          <cell r="G2684" t="str">
            <v>BELGIUM</v>
          </cell>
          <cell r="H2684">
            <v>4</v>
          </cell>
        </row>
        <row r="2685">
          <cell r="B2685" t="str">
            <v>43281EUR2</v>
          </cell>
          <cell r="C2685" t="str">
            <v>43281CYPRUS</v>
          </cell>
          <cell r="D2685" t="str">
            <v>EUR2</v>
          </cell>
          <cell r="E2685">
            <v>4.0533982923157721</v>
          </cell>
          <cell r="F2685">
            <v>0</v>
          </cell>
          <cell r="G2685" t="str">
            <v>CYPRUS</v>
          </cell>
          <cell r="H2685">
            <v>5</v>
          </cell>
        </row>
        <row r="2686">
          <cell r="B2686" t="str">
            <v>43281EUR3</v>
          </cell>
          <cell r="C2686" t="str">
            <v>43281ESTONIA</v>
          </cell>
          <cell r="D2686" t="str">
            <v>EUR3</v>
          </cell>
          <cell r="E2686">
            <v>4.0533982923157721</v>
          </cell>
          <cell r="F2686">
            <v>0</v>
          </cell>
          <cell r="G2686" t="str">
            <v>ESTONIA</v>
          </cell>
          <cell r="H2686">
            <v>6</v>
          </cell>
        </row>
        <row r="2687">
          <cell r="B2687" t="str">
            <v>43281EUR4</v>
          </cell>
          <cell r="C2687" t="str">
            <v>43281FINLAND</v>
          </cell>
          <cell r="D2687" t="str">
            <v>EUR4</v>
          </cell>
          <cell r="E2687">
            <v>4.0533982923157721</v>
          </cell>
          <cell r="F2687">
            <v>0</v>
          </cell>
          <cell r="G2687" t="str">
            <v>FINLAND</v>
          </cell>
          <cell r="H2687">
            <v>4</v>
          </cell>
        </row>
        <row r="2688">
          <cell r="B2688" t="str">
            <v>43281EUR5</v>
          </cell>
          <cell r="C2688" t="str">
            <v>43281FRANCE</v>
          </cell>
          <cell r="D2688" t="str">
            <v>EUR5</v>
          </cell>
          <cell r="E2688">
            <v>4.0533982923157721</v>
          </cell>
          <cell r="F2688">
            <v>0</v>
          </cell>
          <cell r="G2688" t="str">
            <v>FRANCE</v>
          </cell>
          <cell r="H2688">
            <v>4</v>
          </cell>
        </row>
        <row r="2689">
          <cell r="B2689" t="str">
            <v>43281EUR6</v>
          </cell>
          <cell r="C2689" t="str">
            <v>43281GERMANY</v>
          </cell>
          <cell r="D2689" t="str">
            <v>EUR6</v>
          </cell>
          <cell r="E2689">
            <v>4.0533982923157721</v>
          </cell>
          <cell r="F2689">
            <v>0</v>
          </cell>
          <cell r="G2689" t="str">
            <v>GERMANY</v>
          </cell>
          <cell r="H2689">
            <v>4.2822739845530942</v>
          </cell>
        </row>
        <row r="2690">
          <cell r="B2690" t="str">
            <v>43281EUR7</v>
          </cell>
          <cell r="C2690" t="str">
            <v>43281GREECE</v>
          </cell>
          <cell r="D2690" t="str">
            <v>EUR7</v>
          </cell>
          <cell r="E2690">
            <v>4.0533982923157721</v>
          </cell>
          <cell r="F2690">
            <v>0</v>
          </cell>
          <cell r="G2690" t="str">
            <v>GREECE</v>
          </cell>
          <cell r="H2690">
            <v>7</v>
          </cell>
        </row>
        <row r="2691">
          <cell r="B2691" t="str">
            <v>43281EUR8</v>
          </cell>
          <cell r="C2691" t="str">
            <v>43281IRELAND</v>
          </cell>
          <cell r="D2691" t="str">
            <v>EUR8</v>
          </cell>
          <cell r="E2691">
            <v>4.0533982923157721</v>
          </cell>
          <cell r="F2691">
            <v>0</v>
          </cell>
          <cell r="G2691" t="str">
            <v>IRELAND</v>
          </cell>
          <cell r="H2691">
            <v>4</v>
          </cell>
        </row>
        <row r="2692">
          <cell r="B2692" t="str">
            <v>43281EUR9</v>
          </cell>
          <cell r="C2692" t="str">
            <v>43281ITALY</v>
          </cell>
          <cell r="D2692" t="str">
            <v>EUR9</v>
          </cell>
          <cell r="E2692">
            <v>4.0533982923157721</v>
          </cell>
          <cell r="F2692">
            <v>0</v>
          </cell>
          <cell r="G2692" t="str">
            <v>ITALY</v>
          </cell>
          <cell r="H2692">
            <v>4.5</v>
          </cell>
        </row>
        <row r="2693">
          <cell r="B2693" t="str">
            <v>43281EUR10</v>
          </cell>
          <cell r="C2693" t="str">
            <v>43281LATVIA</v>
          </cell>
          <cell r="D2693" t="str">
            <v>EUR10</v>
          </cell>
          <cell r="E2693">
            <v>4.0533982923157721</v>
          </cell>
          <cell r="F2693">
            <v>0</v>
          </cell>
          <cell r="G2693" t="str">
            <v>LATVIA</v>
          </cell>
          <cell r="H2693">
            <v>6</v>
          </cell>
        </row>
        <row r="2694">
          <cell r="B2694" t="str">
            <v>43281EUR11</v>
          </cell>
          <cell r="C2694" t="str">
            <v>43281LUXEMBOURG</v>
          </cell>
          <cell r="D2694" t="str">
            <v>EUR11</v>
          </cell>
          <cell r="E2694">
            <v>4.0533982923157721</v>
          </cell>
          <cell r="F2694">
            <v>0</v>
          </cell>
          <cell r="G2694" t="str">
            <v>LUXEMBOURG</v>
          </cell>
          <cell r="H2694">
            <v>4</v>
          </cell>
        </row>
        <row r="2695">
          <cell r="B2695" t="str">
            <v>43281EUR12</v>
          </cell>
          <cell r="C2695" t="str">
            <v>43281MALTA</v>
          </cell>
          <cell r="D2695" t="str">
            <v>EUR12</v>
          </cell>
          <cell r="E2695">
            <v>4.0533982923157721</v>
          </cell>
          <cell r="F2695">
            <v>0</v>
          </cell>
          <cell r="G2695" t="str">
            <v>MALTA</v>
          </cell>
          <cell r="H2695">
            <v>4</v>
          </cell>
        </row>
        <row r="2696">
          <cell r="B2696" t="str">
            <v>43281EUR13</v>
          </cell>
          <cell r="C2696" t="str">
            <v>43281MONTENEGRO</v>
          </cell>
          <cell r="D2696" t="str">
            <v>EUR13</v>
          </cell>
          <cell r="E2696">
            <v>4.0533982923157721</v>
          </cell>
          <cell r="F2696">
            <v>0</v>
          </cell>
          <cell r="G2696" t="str">
            <v>MONTENEGRO</v>
          </cell>
          <cell r="H2696">
            <v>6</v>
          </cell>
        </row>
        <row r="2697">
          <cell r="B2697" t="str">
            <v>43281EUR14</v>
          </cell>
          <cell r="C2697" t="str">
            <v>43281NETHERLANDS</v>
          </cell>
          <cell r="D2697" t="str">
            <v>EUR14</v>
          </cell>
          <cell r="E2697">
            <v>4.0533982923157721</v>
          </cell>
          <cell r="F2697">
            <v>0</v>
          </cell>
          <cell r="G2697" t="str">
            <v>NETHERLANDS</v>
          </cell>
          <cell r="H2697">
            <v>4</v>
          </cell>
        </row>
        <row r="2698">
          <cell r="B2698" t="str">
            <v>43281EUR15</v>
          </cell>
          <cell r="C2698" t="str">
            <v>43281PORTUGAL</v>
          </cell>
          <cell r="D2698" t="str">
            <v>EUR15</v>
          </cell>
          <cell r="E2698">
            <v>4.0533982923157721</v>
          </cell>
          <cell r="F2698">
            <v>0</v>
          </cell>
          <cell r="G2698" t="str">
            <v>PORTUGAL</v>
          </cell>
          <cell r="H2698">
            <v>4</v>
          </cell>
        </row>
        <row r="2699">
          <cell r="B2699" t="str">
            <v>43281EUR16</v>
          </cell>
          <cell r="C2699" t="str">
            <v>43281SLOVAKIA</v>
          </cell>
          <cell r="D2699" t="str">
            <v>EUR16</v>
          </cell>
          <cell r="E2699">
            <v>4.0533982923157721</v>
          </cell>
          <cell r="F2699">
            <v>0</v>
          </cell>
          <cell r="G2699" t="str">
            <v>SLOVAKIA</v>
          </cell>
          <cell r="H2699">
            <v>5</v>
          </cell>
        </row>
        <row r="2700">
          <cell r="B2700" t="str">
            <v>43281EUR17</v>
          </cell>
          <cell r="C2700" t="str">
            <v>43281SLOVENIA</v>
          </cell>
          <cell r="D2700" t="str">
            <v>EUR17</v>
          </cell>
          <cell r="E2700">
            <v>4.0533982923157721</v>
          </cell>
          <cell r="F2700">
            <v>0</v>
          </cell>
          <cell r="G2700" t="str">
            <v>SLOVENIA</v>
          </cell>
          <cell r="H2700">
            <v>6</v>
          </cell>
        </row>
        <row r="2701">
          <cell r="B2701" t="str">
            <v>43281EUR18</v>
          </cell>
          <cell r="C2701" t="str">
            <v>43281SPAIN</v>
          </cell>
          <cell r="D2701" t="str">
            <v>EUR18</v>
          </cell>
          <cell r="E2701">
            <v>4.0533982923157721</v>
          </cell>
          <cell r="F2701">
            <v>0</v>
          </cell>
          <cell r="G2701" t="str">
            <v>SPAIN</v>
          </cell>
          <cell r="H2701">
            <v>4</v>
          </cell>
        </row>
        <row r="2702">
          <cell r="B2702" t="str">
            <v>43281EUR20</v>
          </cell>
          <cell r="C2702" t="str">
            <v>43281AUSTRIA</v>
          </cell>
          <cell r="D2702" t="str">
            <v>EUR20</v>
          </cell>
          <cell r="E2702">
            <v>4.0533982923157721</v>
          </cell>
          <cell r="F2702">
            <v>0</v>
          </cell>
          <cell r="G2702" t="str">
            <v>AUSTRIA</v>
          </cell>
          <cell r="H2702">
            <v>4</v>
          </cell>
        </row>
        <row r="2703">
          <cell r="B2703" t="str">
            <v>43281Eastern European Institutions</v>
          </cell>
          <cell r="C2703" t="str">
            <v>43281Eastern European Institutions</v>
          </cell>
          <cell r="D2703" t="str">
            <v>Eastern European Institutions</v>
          </cell>
          <cell r="E2703">
            <v>0</v>
          </cell>
          <cell r="G2703" t="str">
            <v>Eastern European Institutions</v>
          </cell>
          <cell r="H2703">
            <v>5</v>
          </cell>
        </row>
        <row r="2704">
          <cell r="B2704" t="str">
            <v>43312AED</v>
          </cell>
          <cell r="C2704" t="str">
            <v>43312U. A. E.</v>
          </cell>
          <cell r="D2704" t="str">
            <v>AED</v>
          </cell>
          <cell r="E2704">
            <v>4.9765622077347951</v>
          </cell>
          <cell r="F2704">
            <v>2.4989999999999997</v>
          </cell>
          <cell r="G2704" t="str">
            <v>U. A. E.</v>
          </cell>
          <cell r="H2704">
            <v>5</v>
          </cell>
        </row>
        <row r="2705">
          <cell r="B2705" t="str">
            <v>43312ARS</v>
          </cell>
          <cell r="C2705" t="str">
            <v>43312ARGENTINA</v>
          </cell>
          <cell r="D2705" t="str">
            <v>ARS</v>
          </cell>
          <cell r="E2705">
            <v>20.406517939408424</v>
          </cell>
          <cell r="F2705">
            <v>27.416666666666668</v>
          </cell>
          <cell r="G2705" t="str">
            <v>ARGENTINA</v>
          </cell>
          <cell r="H2705">
            <v>6</v>
          </cell>
        </row>
        <row r="2706">
          <cell r="B2706" t="str">
            <v>43312AUD</v>
          </cell>
          <cell r="C2706" t="str">
            <v>43312AUSTRALIA</v>
          </cell>
          <cell r="D2706" t="str">
            <v>AUD</v>
          </cell>
          <cell r="E2706">
            <v>4.6859358608191828</v>
          </cell>
          <cell r="F2706">
            <v>2.2953333333333332</v>
          </cell>
          <cell r="G2706" t="str">
            <v>AUSTRALIA</v>
          </cell>
          <cell r="H2706">
            <v>3.3639078507616462</v>
          </cell>
        </row>
        <row r="2707">
          <cell r="B2707" t="str">
            <v>43312BDT</v>
          </cell>
          <cell r="C2707" t="str">
            <v>43312BANGLADESH</v>
          </cell>
          <cell r="D2707" t="str">
            <v>BDT</v>
          </cell>
          <cell r="E2707">
            <v>8.1038783987598606</v>
          </cell>
          <cell r="F2707">
            <v>5.9819166666666668</v>
          </cell>
          <cell r="G2707" t="str">
            <v>BANGLADESH</v>
          </cell>
          <cell r="H2707">
            <v>6</v>
          </cell>
        </row>
        <row r="2708">
          <cell r="B2708" t="str">
            <v>43312BRL</v>
          </cell>
          <cell r="C2708" t="str">
            <v>43312BRAZIL</v>
          </cell>
          <cell r="D2708" t="str">
            <v>BRL</v>
          </cell>
          <cell r="E2708">
            <v>6.2520890993651248</v>
          </cell>
          <cell r="F2708">
            <v>3.7848333333333333</v>
          </cell>
          <cell r="G2708" t="str">
            <v>BRAZIL</v>
          </cell>
          <cell r="H2708">
            <v>7</v>
          </cell>
        </row>
        <row r="2709">
          <cell r="B2709" t="str">
            <v>43312BWP</v>
          </cell>
          <cell r="C2709" t="str">
            <v>43312BOTSWANA</v>
          </cell>
          <cell r="D2709" t="str">
            <v>BWP</v>
          </cell>
          <cell r="E2709">
            <v>6.0999614689788242</v>
          </cell>
          <cell r="F2709">
            <v>3.7416666666666671</v>
          </cell>
          <cell r="G2709" t="str">
            <v>BOTSWANA</v>
          </cell>
          <cell r="H2709">
            <v>6</v>
          </cell>
        </row>
        <row r="2710">
          <cell r="B2710" t="str">
            <v>43312CAD</v>
          </cell>
          <cell r="C2710" t="str">
            <v>43312CANADA</v>
          </cell>
          <cell r="D2710" t="str">
            <v>CAD</v>
          </cell>
          <cell r="E2710">
            <v>4.3629928217084926</v>
          </cell>
          <cell r="F2710">
            <v>2.155583333333333</v>
          </cell>
          <cell r="G2710" t="str">
            <v>CANADA</v>
          </cell>
          <cell r="H2710">
            <v>4</v>
          </cell>
        </row>
        <row r="2711">
          <cell r="B2711" t="str">
            <v>43312CHF</v>
          </cell>
          <cell r="C2711" t="str">
            <v>43312SWITZERLAND</v>
          </cell>
          <cell r="D2711" t="str">
            <v>CHF</v>
          </cell>
          <cell r="E2711">
            <v>3.1813212363103895</v>
          </cell>
          <cell r="F2711">
            <v>0.81333333333333346</v>
          </cell>
          <cell r="G2711" t="str">
            <v>SWITZERLAND</v>
          </cell>
          <cell r="H2711">
            <v>4</v>
          </cell>
        </row>
        <row r="2712">
          <cell r="B2712" t="str">
            <v>43312CLP</v>
          </cell>
          <cell r="C2712" t="str">
            <v>43312CHILE</v>
          </cell>
          <cell r="D2712" t="str">
            <v>CLP</v>
          </cell>
          <cell r="E2712">
            <v>5.1771119987088534</v>
          </cell>
          <cell r="F2712">
            <v>2.6943333333333332</v>
          </cell>
          <cell r="G2712" t="str">
            <v>CHILE</v>
          </cell>
          <cell r="H2712">
            <v>5</v>
          </cell>
        </row>
        <row r="2713">
          <cell r="B2713" t="str">
            <v>43312CNY</v>
          </cell>
          <cell r="C2713" t="str">
            <v>43312CHINA</v>
          </cell>
          <cell r="D2713" t="str">
            <v>CNY</v>
          </cell>
          <cell r="E2713">
            <v>4.9349212201139894</v>
          </cell>
          <cell r="F2713">
            <v>2.5365833333333336</v>
          </cell>
          <cell r="G2713" t="str">
            <v>CHINA</v>
          </cell>
          <cell r="H2713">
            <v>5</v>
          </cell>
        </row>
        <row r="2714">
          <cell r="B2714" t="str">
            <v>43312COP</v>
          </cell>
          <cell r="C2714" t="str">
            <v>43312COLOMBIA</v>
          </cell>
          <cell r="D2714" t="str">
            <v>COP</v>
          </cell>
          <cell r="E2714">
            <v>5.4483824603649014</v>
          </cell>
          <cell r="F2714">
            <v>3.4598333333333331</v>
          </cell>
          <cell r="G2714" t="str">
            <v>COLOMBIA</v>
          </cell>
          <cell r="H2714">
            <v>5</v>
          </cell>
        </row>
        <row r="2715">
          <cell r="B2715" t="str">
            <v>43312CZK</v>
          </cell>
          <cell r="C2715" t="str">
            <v>43312CZECH REPUBLIC</v>
          </cell>
          <cell r="D2715" t="str">
            <v>CZK</v>
          </cell>
          <cell r="E2715">
            <v>4.3147178224534324</v>
          </cell>
          <cell r="F2715">
            <v>2.1890000000000001</v>
          </cell>
          <cell r="G2715" t="str">
            <v>CZECH REPUBLIC</v>
          </cell>
          <cell r="H2715">
            <v>5</v>
          </cell>
        </row>
        <row r="2716">
          <cell r="B2716" t="str">
            <v>43312DKK</v>
          </cell>
          <cell r="C2716" t="str">
            <v>43312DENMARK</v>
          </cell>
          <cell r="D2716" t="str">
            <v>DKK</v>
          </cell>
          <cell r="E2716">
            <v>4.0697167716395457</v>
          </cell>
          <cell r="F2716">
            <v>1.5249999999999999</v>
          </cell>
          <cell r="G2716" t="str">
            <v>DENMARK</v>
          </cell>
          <cell r="H2716">
            <v>4</v>
          </cell>
        </row>
        <row r="2717">
          <cell r="B2717" t="str">
            <v>43312EGP</v>
          </cell>
          <cell r="C2717" t="str">
            <v>43312EGYPT</v>
          </cell>
          <cell r="D2717" t="str">
            <v>EGP</v>
          </cell>
          <cell r="E2717">
            <v>13.639206522608086</v>
          </cell>
          <cell r="F2717">
            <v>17.1235</v>
          </cell>
          <cell r="G2717" t="str">
            <v>EGYPT</v>
          </cell>
          <cell r="H2717">
            <v>5</v>
          </cell>
        </row>
        <row r="2718">
          <cell r="B2718" t="str">
            <v>43312EUR</v>
          </cell>
          <cell r="D2718" t="str">
            <v>EUR</v>
          </cell>
          <cell r="E2718">
            <v>4.0533982923157721</v>
          </cell>
          <cell r="F2718">
            <v>1.5695833333333336</v>
          </cell>
          <cell r="H2718">
            <v>0</v>
          </cell>
        </row>
        <row r="2719">
          <cell r="B2719" t="str">
            <v>43312GBP</v>
          </cell>
          <cell r="C2719" t="str">
            <v>43312UNITED KINGDOM</v>
          </cell>
          <cell r="D2719" t="str">
            <v>GBP</v>
          </cell>
          <cell r="E2719">
            <v>4.4019417394370022</v>
          </cell>
          <cell r="F2719">
            <v>2.5002500000000003</v>
          </cell>
          <cell r="G2719" t="str">
            <v>UNITED KINGDOM</v>
          </cell>
          <cell r="H2719">
            <v>4</v>
          </cell>
        </row>
        <row r="2720">
          <cell r="B2720" t="str">
            <v>43312GEL</v>
          </cell>
          <cell r="C2720" t="str">
            <v>43312GEORGIA</v>
          </cell>
          <cell r="D2720" t="str">
            <v>GEL</v>
          </cell>
          <cell r="E2720">
            <v>5.3749190213799682</v>
          </cell>
          <cell r="F2720">
            <v>3.3620000000000001</v>
          </cell>
          <cell r="G2720" t="str">
            <v>GEORGIA</v>
          </cell>
          <cell r="H2720">
            <v>6</v>
          </cell>
        </row>
        <row r="2721">
          <cell r="B2721" t="str">
            <v>43312HKD</v>
          </cell>
          <cell r="C2721" t="str">
            <v>43312HONG KONG</v>
          </cell>
          <cell r="D2721" t="str">
            <v>HKD</v>
          </cell>
          <cell r="E2721">
            <v>4.549843711580829</v>
          </cell>
          <cell r="F2721">
            <v>2.4989999999999997</v>
          </cell>
          <cell r="G2721" t="str">
            <v>HONG KONG</v>
          </cell>
          <cell r="H2721">
            <v>4</v>
          </cell>
        </row>
        <row r="2722">
          <cell r="B2722" t="str">
            <v>43312GHS</v>
          </cell>
          <cell r="C2722" t="str">
            <v>43312GHANA</v>
          </cell>
          <cell r="D2722" t="str">
            <v>GHS</v>
          </cell>
          <cell r="E2722">
            <v>9.7914061284129872</v>
          </cell>
          <cell r="F2722">
            <v>8.424666666666667</v>
          </cell>
          <cell r="G2722" t="str">
            <v>GHANA</v>
          </cell>
          <cell r="H2722">
            <v>6</v>
          </cell>
        </row>
        <row r="2723">
          <cell r="B2723" t="str">
            <v>43312HRK</v>
          </cell>
          <cell r="C2723" t="str">
            <v>43312CROATIA</v>
          </cell>
          <cell r="D2723" t="str">
            <v>HRK</v>
          </cell>
          <cell r="E2723">
            <v>3.86533022719893</v>
          </cell>
          <cell r="F2723">
            <v>1.4933333333333332</v>
          </cell>
          <cell r="G2723" t="str">
            <v>CROATIA</v>
          </cell>
          <cell r="H2723">
            <v>6</v>
          </cell>
        </row>
        <row r="2724">
          <cell r="B2724" t="str">
            <v>43312HUF</v>
          </cell>
          <cell r="C2724" t="str">
            <v>43312HUNGARY</v>
          </cell>
          <cell r="D2724" t="str">
            <v>HUF</v>
          </cell>
          <cell r="E2724">
            <v>5.2682170776554829</v>
          </cell>
          <cell r="F2724">
            <v>2.9611666666666667</v>
          </cell>
          <cell r="G2724" t="str">
            <v>HUNGARY</v>
          </cell>
          <cell r="H2724">
            <v>5</v>
          </cell>
        </row>
        <row r="2725">
          <cell r="B2725" t="str">
            <v>43312IDR</v>
          </cell>
          <cell r="C2725" t="str">
            <v>43312INDONESIA</v>
          </cell>
          <cell r="D2725" t="str">
            <v>IDR</v>
          </cell>
          <cell r="E2725">
            <v>5.6468905422355755</v>
          </cell>
          <cell r="F2725">
            <v>3.4722499999999998</v>
          </cell>
          <cell r="G2725" t="str">
            <v>INDONESIA</v>
          </cell>
          <cell r="H2725">
            <v>5</v>
          </cell>
        </row>
        <row r="2726">
          <cell r="B2726" t="str">
            <v>43312ILS</v>
          </cell>
          <cell r="C2726" t="str">
            <v>43312ISRAEL</v>
          </cell>
          <cell r="D2726" t="str">
            <v>ILS</v>
          </cell>
          <cell r="E2726">
            <v>3.812250819199229</v>
          </cell>
          <cell r="F2726">
            <v>0.97616666666666663</v>
          </cell>
          <cell r="G2726" t="str">
            <v>ISRAEL</v>
          </cell>
          <cell r="H2726">
            <v>4</v>
          </cell>
        </row>
        <row r="2727">
          <cell r="B2727" t="str">
            <v>43312INR</v>
          </cell>
          <cell r="C2727" t="str">
            <v>43312INDIA</v>
          </cell>
          <cell r="D2727" t="str">
            <v>INR</v>
          </cell>
          <cell r="E2727">
            <v>7.1267796879755743</v>
          </cell>
          <cell r="F2727">
            <v>4.9547500000000007</v>
          </cell>
          <cell r="G2727" t="str">
            <v>INDIA</v>
          </cell>
          <cell r="H2727">
            <v>5</v>
          </cell>
        </row>
        <row r="2728">
          <cell r="B2728" t="str">
            <v>43312IQD</v>
          </cell>
          <cell r="C2728" t="str">
            <v>43312IRAQ</v>
          </cell>
          <cell r="D2728" t="str">
            <v>IQD</v>
          </cell>
          <cell r="E2728">
            <v>4.2500000000000018</v>
          </cell>
          <cell r="F2728">
            <v>2</v>
          </cell>
          <cell r="G2728" t="str">
            <v>IRAQ</v>
          </cell>
          <cell r="H2728">
            <v>6</v>
          </cell>
        </row>
        <row r="2729">
          <cell r="B2729" t="str">
            <v>43312JPY</v>
          </cell>
          <cell r="C2729" t="str">
            <v>43312JAPAN</v>
          </cell>
          <cell r="D2729" t="str">
            <v>JPY</v>
          </cell>
          <cell r="E2729">
            <v>3.476161867078579</v>
          </cell>
          <cell r="F2729">
            <v>1.1099999999999999</v>
          </cell>
          <cell r="G2729" t="str">
            <v>JAPAN</v>
          </cell>
          <cell r="H2729">
            <v>4</v>
          </cell>
        </row>
        <row r="2730">
          <cell r="B2730" t="str">
            <v>43312KES</v>
          </cell>
          <cell r="C2730" t="str">
            <v>43312KENYA</v>
          </cell>
          <cell r="D2730" t="str">
            <v>KES</v>
          </cell>
          <cell r="E2730">
            <v>7.2163828523647258</v>
          </cell>
          <cell r="F2730">
            <v>4.9045000000000005</v>
          </cell>
          <cell r="G2730" t="str">
            <v>KENYA</v>
          </cell>
          <cell r="H2730">
            <v>7.5</v>
          </cell>
        </row>
        <row r="2731">
          <cell r="B2731" t="str">
            <v>43312JOD</v>
          </cell>
          <cell r="C2731" t="str">
            <v>43312JORDAN</v>
          </cell>
          <cell r="D2731" t="str">
            <v>JOD</v>
          </cell>
          <cell r="E2731">
            <v>4.5363507664002247</v>
          </cell>
          <cell r="F2731">
            <v>2.4989999999999997</v>
          </cell>
          <cell r="G2731" t="str">
            <v>JORDAN</v>
          </cell>
          <cell r="H2731">
            <v>6</v>
          </cell>
        </row>
        <row r="2732">
          <cell r="B2732" t="str">
            <v>43312KHR</v>
          </cell>
          <cell r="C2732" t="str">
            <v>43312CAMBODIA</v>
          </cell>
          <cell r="D2732" t="str">
            <v>KHR</v>
          </cell>
          <cell r="E2732">
            <v>5.3931495883768257</v>
          </cell>
          <cell r="F2732">
            <v>3.2511666666666668</v>
          </cell>
          <cell r="G2732" t="str">
            <v>CAMBODIA</v>
          </cell>
          <cell r="H2732">
            <v>6</v>
          </cell>
        </row>
        <row r="2733">
          <cell r="B2733" t="str">
            <v>43312KRW</v>
          </cell>
          <cell r="C2733" t="str">
            <v>43312KOREA SOUTH(REPUBLIC OF KOREA)</v>
          </cell>
          <cell r="D2733" t="str">
            <v>KRW</v>
          </cell>
          <cell r="E2733">
            <v>4.1799442757868546</v>
          </cell>
          <cell r="F2733">
            <v>1.8083333333333336</v>
          </cell>
          <cell r="G2733" t="str">
            <v>KOREA SOUTH(REPUBLIC OF KOREA)</v>
          </cell>
          <cell r="H2733">
            <v>5</v>
          </cell>
        </row>
        <row r="2734">
          <cell r="B2734" t="str">
            <v>43312KWD</v>
          </cell>
          <cell r="C2734" t="str">
            <v>43312KUWAIT</v>
          </cell>
          <cell r="D2734" t="str">
            <v>KWD</v>
          </cell>
          <cell r="E2734">
            <v>5.2691583576135494</v>
          </cell>
          <cell r="F2734">
            <v>3</v>
          </cell>
          <cell r="G2734" t="str">
            <v>KUWAIT</v>
          </cell>
          <cell r="H2734">
            <v>6</v>
          </cell>
        </row>
        <row r="2735">
          <cell r="B2735" t="str">
            <v>43312LKR</v>
          </cell>
          <cell r="C2735" t="str">
            <v>43312SRI LANKA</v>
          </cell>
          <cell r="D2735" t="str">
            <v>LKR</v>
          </cell>
          <cell r="E2735">
            <v>7.0997856885606039</v>
          </cell>
          <cell r="F2735">
            <v>4.8077499999999995</v>
          </cell>
          <cell r="G2735" t="str">
            <v>SRI LANKA</v>
          </cell>
          <cell r="H2735">
            <v>6</v>
          </cell>
        </row>
        <row r="2736">
          <cell r="B2736" t="str">
            <v>43312KZT</v>
          </cell>
          <cell r="C2736" t="str">
            <v>43312KAZAKHSTAN</v>
          </cell>
          <cell r="D2736" t="str">
            <v>KZT</v>
          </cell>
          <cell r="E2736">
            <v>7.2005446867270875</v>
          </cell>
          <cell r="F2736">
            <v>6.0614166666666662</v>
          </cell>
          <cell r="G2736" t="str">
            <v>KAZAKHSTAN</v>
          </cell>
          <cell r="H2736">
            <v>6</v>
          </cell>
        </row>
        <row r="2737">
          <cell r="B2737" t="str">
            <v>43312MAD</v>
          </cell>
          <cell r="C2737" t="str">
            <v>43312MOROCCO</v>
          </cell>
          <cell r="D2737" t="str">
            <v>MAD</v>
          </cell>
          <cell r="E2737">
            <v>4.1297166463972115</v>
          </cell>
          <cell r="F2737">
            <v>1.65</v>
          </cell>
          <cell r="G2737" t="str">
            <v>MOROCCO</v>
          </cell>
          <cell r="H2737">
            <v>6</v>
          </cell>
        </row>
        <row r="2738">
          <cell r="B2738" t="str">
            <v>43312MXN</v>
          </cell>
          <cell r="C2738" t="str">
            <v>43312MEXICO</v>
          </cell>
          <cell r="D2738" t="str">
            <v>MXN</v>
          </cell>
          <cell r="E2738">
            <v>5.5472396560453587</v>
          </cell>
          <cell r="F2738">
            <v>3.8489166666666668</v>
          </cell>
          <cell r="G2738" t="str">
            <v>MEXICO</v>
          </cell>
          <cell r="H2738">
            <v>5</v>
          </cell>
        </row>
        <row r="2739">
          <cell r="B2739" t="str">
            <v>43312MYR</v>
          </cell>
          <cell r="C2739" t="str">
            <v>43312MALAYSIA</v>
          </cell>
          <cell r="D2739" t="str">
            <v>MYR</v>
          </cell>
          <cell r="E2739">
            <v>4.823345829513296</v>
          </cell>
          <cell r="F2739">
            <v>2.8511666666666664</v>
          </cell>
          <cell r="G2739" t="str">
            <v>MALAYSIA</v>
          </cell>
          <cell r="H2739">
            <v>5.5</v>
          </cell>
        </row>
        <row r="2740">
          <cell r="B2740" t="str">
            <v>43312NGN</v>
          </cell>
          <cell r="C2740" t="str">
            <v>43312NIGERIA</v>
          </cell>
          <cell r="D2740" t="str">
            <v>NGN</v>
          </cell>
          <cell r="E2740">
            <v>16.648723451339723</v>
          </cell>
          <cell r="F2740">
            <v>14.345083333333333</v>
          </cell>
          <cell r="G2740" t="str">
            <v>NIGERIA</v>
          </cell>
          <cell r="H2740">
            <v>6</v>
          </cell>
        </row>
        <row r="2741">
          <cell r="B2741" t="str">
            <v>43312NOK</v>
          </cell>
          <cell r="C2741" t="str">
            <v>43312NORWAY</v>
          </cell>
          <cell r="D2741" t="str">
            <v>NOK</v>
          </cell>
          <cell r="E2741">
            <v>4.2299921522459796</v>
          </cell>
          <cell r="F2741">
            <v>1.9416666666666664</v>
          </cell>
          <cell r="G2741" t="str">
            <v>NORWAY</v>
          </cell>
          <cell r="H2741">
            <v>4</v>
          </cell>
        </row>
        <row r="2742">
          <cell r="B2742" t="str">
            <v>43312NZD</v>
          </cell>
          <cell r="C2742" t="str">
            <v>43312NEW ZEALAND</v>
          </cell>
          <cell r="D2742" t="str">
            <v>NZD</v>
          </cell>
          <cell r="E2742">
            <v>4.2091151889093217</v>
          </cell>
          <cell r="F2742">
            <v>1.8459166666666667</v>
          </cell>
          <cell r="G2742" t="str">
            <v>NEW ZEALAND</v>
          </cell>
          <cell r="H2742">
            <v>4</v>
          </cell>
        </row>
        <row r="2743">
          <cell r="B2743" t="str">
            <v>43312OMR</v>
          </cell>
          <cell r="C2743" t="str">
            <v>43312OMAN</v>
          </cell>
          <cell r="D2743" t="str">
            <v>OMR</v>
          </cell>
          <cell r="E2743">
            <v>5.3094832395648419</v>
          </cell>
          <cell r="F2743">
            <v>2.4989999999999997</v>
          </cell>
          <cell r="G2743" t="str">
            <v>OMAN</v>
          </cell>
          <cell r="H2743">
            <v>6</v>
          </cell>
        </row>
        <row r="2744">
          <cell r="B2744" t="str">
            <v>43312PEN</v>
          </cell>
          <cell r="C2744" t="str">
            <v>43312PERU</v>
          </cell>
          <cell r="D2744" t="str">
            <v>PEN</v>
          </cell>
          <cell r="E2744">
            <v>4.1468520592144156</v>
          </cell>
          <cell r="F2744">
            <v>1.726</v>
          </cell>
          <cell r="G2744" t="str">
            <v>PERU</v>
          </cell>
          <cell r="H2744">
            <v>5</v>
          </cell>
        </row>
        <row r="2745">
          <cell r="B2745" t="str">
            <v>43312PGK</v>
          </cell>
          <cell r="C2745" t="str">
            <v>43312PAPUA NEW GUINEA</v>
          </cell>
          <cell r="D2745" t="str">
            <v>PGK</v>
          </cell>
          <cell r="E2745">
            <v>4.7740010762102028</v>
          </cell>
          <cell r="F2745">
            <v>2.7455833333333333</v>
          </cell>
          <cell r="G2745" t="str">
            <v>PAPUA NEW GUINEA</v>
          </cell>
          <cell r="H2745">
            <v>6</v>
          </cell>
        </row>
        <row r="2746">
          <cell r="B2746" t="str">
            <v>43312PHP</v>
          </cell>
          <cell r="C2746" t="str">
            <v>43312PHILIPPINES</v>
          </cell>
          <cell r="D2746" t="str">
            <v>PHP</v>
          </cell>
          <cell r="E2746">
            <v>5.7348373287454049</v>
          </cell>
          <cell r="F2746">
            <v>4.0270833333333327</v>
          </cell>
          <cell r="G2746" t="str">
            <v>PHILIPPINES</v>
          </cell>
          <cell r="H2746">
            <v>5</v>
          </cell>
        </row>
        <row r="2747">
          <cell r="B2747" t="str">
            <v>43312PKR</v>
          </cell>
          <cell r="C2747" t="str">
            <v>43312PAKISTAN</v>
          </cell>
          <cell r="D2747" t="str">
            <v>PKR</v>
          </cell>
          <cell r="E2747">
            <v>7.29017488306856</v>
          </cell>
          <cell r="F2747">
            <v>5.0864166666666666</v>
          </cell>
          <cell r="G2747" t="str">
            <v>PAKISTAN</v>
          </cell>
          <cell r="H2747">
            <v>6</v>
          </cell>
        </row>
        <row r="2748">
          <cell r="B2748" t="str">
            <v>43312PLN</v>
          </cell>
          <cell r="C2748" t="str">
            <v>43312POLAND</v>
          </cell>
          <cell r="D2748" t="str">
            <v>PLN</v>
          </cell>
          <cell r="E2748">
            <v>4.763798302072745</v>
          </cell>
          <cell r="F2748">
            <v>2.5324166666666668</v>
          </cell>
          <cell r="G2748" t="str">
            <v>POLAND</v>
          </cell>
          <cell r="H2748">
            <v>4.5</v>
          </cell>
        </row>
        <row r="2749">
          <cell r="B2749" t="str">
            <v>43312QAR</v>
          </cell>
          <cell r="C2749" t="str">
            <v>43312QATAR</v>
          </cell>
          <cell r="D2749" t="str">
            <v>QAR</v>
          </cell>
          <cell r="E2749">
            <v>4.9382852669234847</v>
          </cell>
          <cell r="F2749">
            <v>2.4989999999999997</v>
          </cell>
          <cell r="G2749" t="str">
            <v>QATAR</v>
          </cell>
          <cell r="H2749">
            <v>6</v>
          </cell>
        </row>
        <row r="2750">
          <cell r="B2750" t="str">
            <v>43312RON</v>
          </cell>
          <cell r="C2750" t="str">
            <v>43312ROMANIA</v>
          </cell>
          <cell r="D2750" t="str">
            <v>RON</v>
          </cell>
          <cell r="E2750">
            <v>5.6525231320469196</v>
          </cell>
          <cell r="F2750">
            <v>3.9956666666666667</v>
          </cell>
          <cell r="G2750" t="str">
            <v>ROMANIA</v>
          </cell>
          <cell r="H2750">
            <v>6</v>
          </cell>
        </row>
        <row r="2751">
          <cell r="B2751" t="str">
            <v>43312RUB</v>
          </cell>
          <cell r="C2751" t="str">
            <v>43312RUSSIAN FEDERATION</v>
          </cell>
          <cell r="D2751" t="str">
            <v>RUB</v>
          </cell>
          <cell r="E2751">
            <v>5.9488620798836358</v>
          </cell>
          <cell r="F2751">
            <v>3.166666666666667</v>
          </cell>
          <cell r="G2751" t="str">
            <v>RUSSIAN FEDERATION</v>
          </cell>
          <cell r="H2751">
            <v>8.5</v>
          </cell>
        </row>
        <row r="2752">
          <cell r="B2752" t="str">
            <v>43312SAR</v>
          </cell>
          <cell r="C2752" t="str">
            <v>43312SAUDI ARABIA</v>
          </cell>
          <cell r="D2752" t="str">
            <v>SAR</v>
          </cell>
          <cell r="E2752">
            <v>4.703978976525506</v>
          </cell>
          <cell r="F2752">
            <v>2.4989999999999997</v>
          </cell>
          <cell r="G2752" t="str">
            <v>SAUDI ARABIA</v>
          </cell>
          <cell r="H2752">
            <v>5</v>
          </cell>
        </row>
        <row r="2753">
          <cell r="B2753" t="str">
            <v>43312SEK</v>
          </cell>
          <cell r="C2753" t="str">
            <v>43312SWEDEN</v>
          </cell>
          <cell r="D2753" t="str">
            <v>SEK</v>
          </cell>
          <cell r="E2753">
            <v>4.0598076330788748</v>
          </cell>
          <cell r="F2753">
            <v>1.5666666666666667</v>
          </cell>
          <cell r="G2753" t="str">
            <v>SWEDEN</v>
          </cell>
          <cell r="H2753">
            <v>4</v>
          </cell>
        </row>
        <row r="2754">
          <cell r="B2754" t="str">
            <v>43312SGD</v>
          </cell>
          <cell r="C2754" t="str">
            <v>43312SINGAPORE</v>
          </cell>
          <cell r="D2754" t="str">
            <v>SGD</v>
          </cell>
          <cell r="E2754">
            <v>3.312166572992651</v>
          </cell>
          <cell r="F2754">
            <v>1.1248333333333334</v>
          </cell>
          <cell r="G2754" t="str">
            <v>SINGAPORE</v>
          </cell>
          <cell r="H2754">
            <v>4</v>
          </cell>
        </row>
        <row r="2755">
          <cell r="B2755" t="str">
            <v>43312TZS</v>
          </cell>
          <cell r="C2755" t="str">
            <v>43312TANZANIA, UNITED REPUBLIC OF</v>
          </cell>
          <cell r="D2755" t="str">
            <v>TZS</v>
          </cell>
          <cell r="E2755">
            <v>7.2179804773861358</v>
          </cell>
          <cell r="F2755">
            <v>4.9066666666666663</v>
          </cell>
          <cell r="G2755" t="str">
            <v>TANZANIA, UNITED REPUBLIC OF</v>
          </cell>
          <cell r="H2755">
            <v>6</v>
          </cell>
        </row>
        <row r="2756">
          <cell r="B2756" t="str">
            <v>43312THB</v>
          </cell>
          <cell r="C2756" t="str">
            <v>43312THAILAND</v>
          </cell>
          <cell r="D2756" t="str">
            <v>THB</v>
          </cell>
          <cell r="E2756">
            <v>3.5240979583869994</v>
          </cell>
          <cell r="F2756">
            <v>1.0988333333333333</v>
          </cell>
          <cell r="G2756" t="str">
            <v>THAILAND</v>
          </cell>
          <cell r="H2756">
            <v>5</v>
          </cell>
        </row>
        <row r="2757">
          <cell r="B2757" t="str">
            <v>43312TRY</v>
          </cell>
          <cell r="C2757" t="str">
            <v>43312TURKEY</v>
          </cell>
          <cell r="D2757" t="str">
            <v>TRY</v>
          </cell>
          <cell r="E2757">
            <v>16.02498400780237</v>
          </cell>
          <cell r="F2757">
            <v>16.75</v>
          </cell>
          <cell r="G2757" t="str">
            <v>TURKEY</v>
          </cell>
          <cell r="H2757">
            <v>9</v>
          </cell>
        </row>
        <row r="2758">
          <cell r="B2758" t="str">
            <v>43312TWD</v>
          </cell>
          <cell r="C2758" t="str">
            <v>43312TAIWAN</v>
          </cell>
          <cell r="D2758" t="str">
            <v>TWD</v>
          </cell>
          <cell r="E2758">
            <v>3.9694214099952365</v>
          </cell>
          <cell r="F2758">
            <v>1.2999999999999998</v>
          </cell>
          <cell r="G2758" t="str">
            <v>TAIWAN</v>
          </cell>
          <cell r="H2758">
            <v>5</v>
          </cell>
        </row>
        <row r="2759">
          <cell r="B2759" t="str">
            <v>43312UAH</v>
          </cell>
          <cell r="C2759" t="str">
            <v>43312UKRAINE</v>
          </cell>
          <cell r="D2759" t="str">
            <v>UAH</v>
          </cell>
          <cell r="E2759">
            <v>9.4308843600138506</v>
          </cell>
          <cell r="F2759">
            <v>9.7520000000000007</v>
          </cell>
          <cell r="G2759" t="str">
            <v>UKRAINE</v>
          </cell>
          <cell r="H2759">
            <v>6</v>
          </cell>
        </row>
        <row r="2760">
          <cell r="B2760" t="str">
            <v>43312USD</v>
          </cell>
          <cell r="C2760" t="str">
            <v>43312UNITED STATES</v>
          </cell>
          <cell r="D2760" t="str">
            <v>USD</v>
          </cell>
          <cell r="E2760">
            <v>4.4933926525857961</v>
          </cell>
          <cell r="F2760">
            <v>2.4989999999999997</v>
          </cell>
          <cell r="G2760" t="str">
            <v>UNITED STATES</v>
          </cell>
          <cell r="H2760">
            <v>4</v>
          </cell>
        </row>
        <row r="2761">
          <cell r="B2761" t="str">
            <v>43312VND</v>
          </cell>
          <cell r="C2761" t="str">
            <v>43312VIET NAM</v>
          </cell>
          <cell r="D2761" t="str">
            <v>VND</v>
          </cell>
          <cell r="E2761">
            <v>6.2099691952184157</v>
          </cell>
          <cell r="F2761">
            <v>3.8833333333333329</v>
          </cell>
          <cell r="G2761" t="str">
            <v>VIET NAM</v>
          </cell>
          <cell r="H2761">
            <v>6</v>
          </cell>
        </row>
        <row r="2762">
          <cell r="B2762" t="str">
            <v>43312XOF</v>
          </cell>
          <cell r="C2762" t="str">
            <v>43312MALI</v>
          </cell>
          <cell r="D2762" t="str">
            <v>XOF</v>
          </cell>
          <cell r="E2762">
            <v>4.0833610505822939</v>
          </cell>
          <cell r="F2762">
            <v>1.4858333333333333</v>
          </cell>
          <cell r="G2762" t="str">
            <v>MALI</v>
          </cell>
          <cell r="H2762">
            <v>6</v>
          </cell>
        </row>
        <row r="2763">
          <cell r="B2763" t="str">
            <v>43312ZAR</v>
          </cell>
          <cell r="C2763" t="str">
            <v>43312SOUTH AFRICA</v>
          </cell>
          <cell r="D2763" t="str">
            <v>ZAR</v>
          </cell>
          <cell r="E2763">
            <v>7.6571510417374791</v>
          </cell>
          <cell r="F2763">
            <v>5.2810833333333331</v>
          </cell>
          <cell r="G2763" t="str">
            <v>SOUTH AFRICA</v>
          </cell>
          <cell r="H2763">
            <v>5</v>
          </cell>
        </row>
        <row r="2764">
          <cell r="B2764" t="str">
            <v>43312ZMW</v>
          </cell>
          <cell r="C2764" t="str">
            <v>43312ZAMBIA</v>
          </cell>
          <cell r="D2764" t="str">
            <v>ZMW</v>
          </cell>
          <cell r="E2764">
            <v>10.298556318956157</v>
          </cell>
          <cell r="F2764">
            <v>8.14175</v>
          </cell>
          <cell r="G2764" t="str">
            <v>ZAMBIA</v>
          </cell>
          <cell r="H2764">
            <v>6</v>
          </cell>
        </row>
        <row r="2765">
          <cell r="B2765" t="str">
            <v>43312EUR1</v>
          </cell>
          <cell r="C2765" t="str">
            <v>43312BELGIUM</v>
          </cell>
          <cell r="D2765" t="str">
            <v>EUR1</v>
          </cell>
          <cell r="E2765">
            <v>4.0533982923157721</v>
          </cell>
          <cell r="F2765">
            <v>0</v>
          </cell>
          <cell r="G2765" t="str">
            <v>BELGIUM</v>
          </cell>
          <cell r="H2765">
            <v>4</v>
          </cell>
        </row>
        <row r="2766">
          <cell r="B2766" t="str">
            <v>43312EUR2</v>
          </cell>
          <cell r="C2766" t="str">
            <v>43312CYPRUS</v>
          </cell>
          <cell r="D2766" t="str">
            <v>EUR2</v>
          </cell>
          <cell r="E2766">
            <v>4.0533982923157721</v>
          </cell>
          <cell r="F2766">
            <v>0</v>
          </cell>
          <cell r="G2766" t="str">
            <v>CYPRUS</v>
          </cell>
          <cell r="H2766">
            <v>5</v>
          </cell>
        </row>
        <row r="2767">
          <cell r="B2767" t="str">
            <v>43312EUR3</v>
          </cell>
          <cell r="C2767" t="str">
            <v>43312ESTONIA</v>
          </cell>
          <cell r="D2767" t="str">
            <v>EUR3</v>
          </cell>
          <cell r="E2767">
            <v>4.0533982923157721</v>
          </cell>
          <cell r="F2767">
            <v>0</v>
          </cell>
          <cell r="G2767" t="str">
            <v>ESTONIA</v>
          </cell>
          <cell r="H2767">
            <v>6</v>
          </cell>
        </row>
        <row r="2768">
          <cell r="B2768" t="str">
            <v>43312EUR4</v>
          </cell>
          <cell r="C2768" t="str">
            <v>43312FINLAND</v>
          </cell>
          <cell r="D2768" t="str">
            <v>EUR4</v>
          </cell>
          <cell r="E2768">
            <v>4.0533982923157721</v>
          </cell>
          <cell r="F2768">
            <v>0</v>
          </cell>
          <cell r="G2768" t="str">
            <v>FINLAND</v>
          </cell>
          <cell r="H2768">
            <v>4</v>
          </cell>
        </row>
        <row r="2769">
          <cell r="B2769" t="str">
            <v>43312EUR5</v>
          </cell>
          <cell r="C2769" t="str">
            <v>43312FRANCE</v>
          </cell>
          <cell r="D2769" t="str">
            <v>EUR5</v>
          </cell>
          <cell r="E2769">
            <v>4.0533982923157721</v>
          </cell>
          <cell r="F2769">
            <v>0</v>
          </cell>
          <cell r="G2769" t="str">
            <v>FRANCE</v>
          </cell>
          <cell r="H2769">
            <v>4</v>
          </cell>
        </row>
        <row r="2770">
          <cell r="B2770" t="str">
            <v>43312EUR6</v>
          </cell>
          <cell r="C2770" t="str">
            <v>43312GERMANY</v>
          </cell>
          <cell r="D2770" t="str">
            <v>EUR6</v>
          </cell>
          <cell r="E2770">
            <v>4.0533982923157721</v>
          </cell>
          <cell r="F2770">
            <v>0</v>
          </cell>
          <cell r="G2770" t="str">
            <v>GERMANY</v>
          </cell>
          <cell r="H2770">
            <v>4.2822739845530942</v>
          </cell>
        </row>
        <row r="2771">
          <cell r="B2771" t="str">
            <v>43312EUR7</v>
          </cell>
          <cell r="C2771" t="str">
            <v>43312GREECE</v>
          </cell>
          <cell r="D2771" t="str">
            <v>EUR7</v>
          </cell>
          <cell r="E2771">
            <v>4.0533982923157721</v>
          </cell>
          <cell r="F2771">
            <v>0</v>
          </cell>
          <cell r="G2771" t="str">
            <v>GREECE</v>
          </cell>
          <cell r="H2771">
            <v>7</v>
          </cell>
        </row>
        <row r="2772">
          <cell r="B2772" t="str">
            <v>43312EUR8</v>
          </cell>
          <cell r="C2772" t="str">
            <v>43312IRELAND</v>
          </cell>
          <cell r="D2772" t="str">
            <v>EUR8</v>
          </cell>
          <cell r="E2772">
            <v>4.0533982923157721</v>
          </cell>
          <cell r="F2772">
            <v>0</v>
          </cell>
          <cell r="G2772" t="str">
            <v>IRELAND</v>
          </cell>
          <cell r="H2772">
            <v>4</v>
          </cell>
        </row>
        <row r="2773">
          <cell r="B2773" t="str">
            <v>43312EUR9</v>
          </cell>
          <cell r="C2773" t="str">
            <v>43312ITALY</v>
          </cell>
          <cell r="D2773" t="str">
            <v>EUR9</v>
          </cell>
          <cell r="E2773">
            <v>4.0533982923157721</v>
          </cell>
          <cell r="F2773">
            <v>0</v>
          </cell>
          <cell r="G2773" t="str">
            <v>ITALY</v>
          </cell>
          <cell r="H2773">
            <v>4.5</v>
          </cell>
        </row>
        <row r="2774">
          <cell r="B2774" t="str">
            <v>43312EUR10</v>
          </cell>
          <cell r="C2774" t="str">
            <v>43312LATVIA</v>
          </cell>
          <cell r="D2774" t="str">
            <v>EUR10</v>
          </cell>
          <cell r="E2774">
            <v>4.0533982923157721</v>
          </cell>
          <cell r="F2774">
            <v>0</v>
          </cell>
          <cell r="G2774" t="str">
            <v>LATVIA</v>
          </cell>
          <cell r="H2774">
            <v>6</v>
          </cell>
        </row>
        <row r="2775">
          <cell r="B2775" t="str">
            <v>43312EUR11</v>
          </cell>
          <cell r="C2775" t="str">
            <v>43312LUXEMBOURG</v>
          </cell>
          <cell r="D2775" t="str">
            <v>EUR11</v>
          </cell>
          <cell r="E2775">
            <v>4.0533982923157721</v>
          </cell>
          <cell r="F2775">
            <v>0</v>
          </cell>
          <cell r="G2775" t="str">
            <v>LUXEMBOURG</v>
          </cell>
          <cell r="H2775">
            <v>4</v>
          </cell>
        </row>
        <row r="2776">
          <cell r="B2776" t="str">
            <v>43312EUR12</v>
          </cell>
          <cell r="C2776" t="str">
            <v>43312MALTA</v>
          </cell>
          <cell r="D2776" t="str">
            <v>EUR12</v>
          </cell>
          <cell r="E2776">
            <v>4.0533982923157721</v>
          </cell>
          <cell r="F2776">
            <v>0</v>
          </cell>
          <cell r="G2776" t="str">
            <v>MALTA</v>
          </cell>
          <cell r="H2776">
            <v>4</v>
          </cell>
        </row>
        <row r="2777">
          <cell r="B2777" t="str">
            <v>43312EUR13</v>
          </cell>
          <cell r="C2777" t="str">
            <v>43312MONTENEGRO</v>
          </cell>
          <cell r="D2777" t="str">
            <v>EUR13</v>
          </cell>
          <cell r="E2777">
            <v>4.0533982923157721</v>
          </cell>
          <cell r="F2777">
            <v>0</v>
          </cell>
          <cell r="G2777" t="str">
            <v>MONTENEGRO</v>
          </cell>
          <cell r="H2777">
            <v>6</v>
          </cell>
        </row>
        <row r="2778">
          <cell r="B2778" t="str">
            <v>43312EUR14</v>
          </cell>
          <cell r="C2778" t="str">
            <v>43312NETHERLANDS</v>
          </cell>
          <cell r="D2778" t="str">
            <v>EUR14</v>
          </cell>
          <cell r="E2778">
            <v>4.0533982923157721</v>
          </cell>
          <cell r="F2778">
            <v>0</v>
          </cell>
          <cell r="G2778" t="str">
            <v>NETHERLANDS</v>
          </cell>
          <cell r="H2778">
            <v>4</v>
          </cell>
        </row>
        <row r="2779">
          <cell r="B2779" t="str">
            <v>43312EUR15</v>
          </cell>
          <cell r="C2779" t="str">
            <v>43312PORTUGAL</v>
          </cell>
          <cell r="D2779" t="str">
            <v>EUR15</v>
          </cell>
          <cell r="E2779">
            <v>4.0533982923157721</v>
          </cell>
          <cell r="F2779">
            <v>0</v>
          </cell>
          <cell r="G2779" t="str">
            <v>PORTUGAL</v>
          </cell>
          <cell r="H2779">
            <v>4</v>
          </cell>
        </row>
        <row r="2780">
          <cell r="B2780" t="str">
            <v>43312EUR16</v>
          </cell>
          <cell r="C2780" t="str">
            <v>43312SLOVAKIA</v>
          </cell>
          <cell r="D2780" t="str">
            <v>EUR16</v>
          </cell>
          <cell r="E2780">
            <v>4.0533982923157721</v>
          </cell>
          <cell r="F2780">
            <v>0</v>
          </cell>
          <cell r="G2780" t="str">
            <v>SLOVAKIA</v>
          </cell>
          <cell r="H2780">
            <v>5</v>
          </cell>
        </row>
        <row r="2781">
          <cell r="B2781" t="str">
            <v>43312EUR17</v>
          </cell>
          <cell r="C2781" t="str">
            <v>43312SLOVENIA</v>
          </cell>
          <cell r="D2781" t="str">
            <v>EUR17</v>
          </cell>
          <cell r="E2781">
            <v>4.0533982923157721</v>
          </cell>
          <cell r="F2781">
            <v>0</v>
          </cell>
          <cell r="G2781" t="str">
            <v>SLOVENIA</v>
          </cell>
          <cell r="H2781">
            <v>6</v>
          </cell>
        </row>
        <row r="2782">
          <cell r="B2782" t="str">
            <v>43312EUR18</v>
          </cell>
          <cell r="C2782" t="str">
            <v>43312SPAIN</v>
          </cell>
          <cell r="D2782" t="str">
            <v>EUR18</v>
          </cell>
          <cell r="E2782">
            <v>4.0533982923157721</v>
          </cell>
          <cell r="F2782">
            <v>0</v>
          </cell>
          <cell r="G2782" t="str">
            <v>SPAIN</v>
          </cell>
          <cell r="H2782">
            <v>4</v>
          </cell>
        </row>
        <row r="2783">
          <cell r="B2783" t="str">
            <v>43312EUR20</v>
          </cell>
          <cell r="C2783" t="str">
            <v>43312AUSTRIA</v>
          </cell>
          <cell r="D2783" t="str">
            <v>EUR20</v>
          </cell>
          <cell r="E2783">
            <v>4.0533982923157721</v>
          </cell>
          <cell r="F2783">
            <v>0</v>
          </cell>
          <cell r="G2783" t="str">
            <v>AUSTRIA</v>
          </cell>
          <cell r="H2783">
            <v>4</v>
          </cell>
        </row>
        <row r="2784">
          <cell r="B2784" t="str">
            <v>43312Eastern European Institutions</v>
          </cell>
          <cell r="C2784" t="str">
            <v>43312Eastern European Institutions</v>
          </cell>
          <cell r="D2784" t="str">
            <v>Eastern European Institutions</v>
          </cell>
          <cell r="E2784">
            <v>0</v>
          </cell>
          <cell r="G2784" t="str">
            <v>Eastern European Institutions</v>
          </cell>
          <cell r="H2784">
            <v>5</v>
          </cell>
        </row>
        <row r="2785">
          <cell r="B2785" t="str">
            <v>43343AED</v>
          </cell>
          <cell r="C2785" t="str">
            <v>43343U. A. E.</v>
          </cell>
          <cell r="D2785" t="str">
            <v>AED</v>
          </cell>
          <cell r="E2785">
            <v>4.9765622077347951</v>
          </cell>
          <cell r="F2785">
            <v>2.508</v>
          </cell>
          <cell r="G2785" t="str">
            <v>U. A. E.</v>
          </cell>
          <cell r="H2785">
            <v>5</v>
          </cell>
        </row>
        <row r="2786">
          <cell r="B2786" t="str">
            <v>43343ARS</v>
          </cell>
          <cell r="C2786" t="str">
            <v>43343ARGENTINA</v>
          </cell>
          <cell r="D2786" t="str">
            <v>ARS</v>
          </cell>
          <cell r="E2786">
            <v>20.406517939408424</v>
          </cell>
          <cell r="F2786">
            <v>28.333333333333332</v>
          </cell>
          <cell r="G2786" t="str">
            <v>ARGENTINA</v>
          </cell>
          <cell r="H2786">
            <v>9</v>
          </cell>
        </row>
        <row r="2787">
          <cell r="B2787" t="str">
            <v>43343AUD</v>
          </cell>
          <cell r="C2787" t="str">
            <v>43343AUSTRALIA</v>
          </cell>
          <cell r="D2787" t="str">
            <v>AUD</v>
          </cell>
          <cell r="E2787">
            <v>4.6859358608191828</v>
          </cell>
          <cell r="F2787">
            <v>2.2836666666666665</v>
          </cell>
          <cell r="G2787" t="str">
            <v>AUSTRALIA</v>
          </cell>
          <cell r="H2787">
            <v>3.3639078507616462</v>
          </cell>
        </row>
        <row r="2788">
          <cell r="B2788" t="str">
            <v>43343BDT</v>
          </cell>
          <cell r="C2788" t="str">
            <v>43343BANGLADESH</v>
          </cell>
          <cell r="D2788" t="str">
            <v>BDT</v>
          </cell>
          <cell r="E2788">
            <v>8.1038783987598606</v>
          </cell>
          <cell r="F2788">
            <v>5.9783333333333335</v>
          </cell>
          <cell r="G2788" t="str">
            <v>BANGLADESH</v>
          </cell>
          <cell r="H2788">
            <v>6</v>
          </cell>
        </row>
        <row r="2789">
          <cell r="B2789" t="str">
            <v>43343BRL</v>
          </cell>
          <cell r="C2789" t="str">
            <v>43343BRAZIL</v>
          </cell>
          <cell r="D2789" t="str">
            <v>BRL</v>
          </cell>
          <cell r="E2789">
            <v>6.2520890993651248</v>
          </cell>
          <cell r="F2789">
            <v>3.7286666666666664</v>
          </cell>
          <cell r="G2789" t="str">
            <v>BRAZIL</v>
          </cell>
          <cell r="H2789">
            <v>7</v>
          </cell>
        </row>
        <row r="2790">
          <cell r="B2790" t="str">
            <v>43343BWP</v>
          </cell>
          <cell r="C2790" t="str">
            <v>43343BOTSWANA</v>
          </cell>
          <cell r="D2790" t="str">
            <v>BWP</v>
          </cell>
          <cell r="E2790">
            <v>6.0999614689788242</v>
          </cell>
          <cell r="F2790">
            <v>3.7333333333333334</v>
          </cell>
          <cell r="G2790" t="str">
            <v>BOTSWANA</v>
          </cell>
          <cell r="H2790">
            <v>6</v>
          </cell>
        </row>
        <row r="2791">
          <cell r="B2791" t="str">
            <v>43343CAD</v>
          </cell>
          <cell r="C2791" t="str">
            <v>43343CANADA</v>
          </cell>
          <cell r="D2791" t="str">
            <v>CAD</v>
          </cell>
          <cell r="E2791">
            <v>4.3629928217084926</v>
          </cell>
          <cell r="F2791">
            <v>2.1546666666666665</v>
          </cell>
          <cell r="G2791" t="str">
            <v>CANADA</v>
          </cell>
          <cell r="H2791">
            <v>4</v>
          </cell>
        </row>
        <row r="2792">
          <cell r="B2792" t="str">
            <v>43343CHF</v>
          </cell>
          <cell r="C2792" t="str">
            <v>43343SWITZERLAND</v>
          </cell>
          <cell r="D2792" t="str">
            <v>CHF</v>
          </cell>
          <cell r="E2792">
            <v>3.1813212363103895</v>
          </cell>
          <cell r="F2792">
            <v>0.78666666666666663</v>
          </cell>
          <cell r="G2792" t="str">
            <v>SWITZERLAND</v>
          </cell>
          <cell r="H2792">
            <v>4</v>
          </cell>
        </row>
        <row r="2793">
          <cell r="B2793" t="str">
            <v>43343CLP</v>
          </cell>
          <cell r="C2793" t="str">
            <v>43343CHILE</v>
          </cell>
          <cell r="D2793" t="str">
            <v>CLP</v>
          </cell>
          <cell r="E2793">
            <v>5.1771119987088534</v>
          </cell>
          <cell r="F2793">
            <v>2.6436666666666664</v>
          </cell>
          <cell r="G2793" t="str">
            <v>CHILE</v>
          </cell>
          <cell r="H2793">
            <v>5</v>
          </cell>
        </row>
        <row r="2794">
          <cell r="B2794" t="str">
            <v>43343CNY</v>
          </cell>
          <cell r="C2794" t="str">
            <v>43343CHINA</v>
          </cell>
          <cell r="D2794" t="str">
            <v>CNY</v>
          </cell>
          <cell r="E2794">
            <v>4.9349212201139894</v>
          </cell>
          <cell r="F2794">
            <v>2.5256666666666669</v>
          </cell>
          <cell r="G2794" t="str">
            <v>CHINA</v>
          </cell>
          <cell r="H2794">
            <v>5</v>
          </cell>
        </row>
        <row r="2795">
          <cell r="B2795" t="str">
            <v>43343COP</v>
          </cell>
          <cell r="C2795" t="str">
            <v>43343COLOMBIA</v>
          </cell>
          <cell r="D2795" t="str">
            <v>COP</v>
          </cell>
          <cell r="E2795">
            <v>5.4483824603649014</v>
          </cell>
          <cell r="F2795">
            <v>3.4626666666666672</v>
          </cell>
          <cell r="G2795" t="str">
            <v>COLOMBIA</v>
          </cell>
          <cell r="H2795">
            <v>5</v>
          </cell>
        </row>
        <row r="2796">
          <cell r="B2796" t="str">
            <v>43343CZK</v>
          </cell>
          <cell r="C2796" t="str">
            <v>43343CZECH REPUBLIC</v>
          </cell>
          <cell r="D2796" t="str">
            <v>CZK</v>
          </cell>
          <cell r="E2796">
            <v>4.3147178224534324</v>
          </cell>
          <cell r="F2796">
            <v>2.2159999999999997</v>
          </cell>
          <cell r="G2796" t="str">
            <v>CZECH REPUBLIC</v>
          </cell>
          <cell r="H2796">
            <v>5</v>
          </cell>
        </row>
        <row r="2797">
          <cell r="B2797" t="str">
            <v>43343DKK</v>
          </cell>
          <cell r="C2797" t="str">
            <v>43343DENMARK</v>
          </cell>
          <cell r="D2797" t="str">
            <v>DKK</v>
          </cell>
          <cell r="E2797">
            <v>4.0697167716395457</v>
          </cell>
          <cell r="F2797">
            <v>1.5</v>
          </cell>
          <cell r="G2797" t="str">
            <v>DENMARK</v>
          </cell>
          <cell r="H2797">
            <v>4</v>
          </cell>
        </row>
        <row r="2798">
          <cell r="B2798" t="str">
            <v>43343EGP</v>
          </cell>
          <cell r="C2798" t="str">
            <v>43343EGYPT</v>
          </cell>
          <cell r="D2798" t="str">
            <v>EGP</v>
          </cell>
          <cell r="E2798">
            <v>13.639206522608086</v>
          </cell>
          <cell r="F2798">
            <v>17.718</v>
          </cell>
          <cell r="G2798" t="str">
            <v>EGYPT</v>
          </cell>
          <cell r="H2798">
            <v>5</v>
          </cell>
        </row>
        <row r="2799">
          <cell r="B2799" t="str">
            <v>43343EUR</v>
          </cell>
          <cell r="D2799" t="str">
            <v>EUR</v>
          </cell>
          <cell r="E2799">
            <v>4.0533982923157721</v>
          </cell>
          <cell r="F2799">
            <v>1.5616666666666665</v>
          </cell>
          <cell r="H2799">
            <v>0</v>
          </cell>
        </row>
        <row r="2800">
          <cell r="B2800" t="str">
            <v>43343GBP</v>
          </cell>
          <cell r="C2800" t="str">
            <v>43343UNITED KINGDOM</v>
          </cell>
          <cell r="D2800" t="str">
            <v>GBP</v>
          </cell>
          <cell r="E2800">
            <v>4.4019417394370022</v>
          </cell>
          <cell r="F2800">
            <v>2.5489999999999999</v>
          </cell>
          <cell r="G2800" t="str">
            <v>UNITED KINGDOM</v>
          </cell>
          <cell r="H2800">
            <v>4</v>
          </cell>
        </row>
        <row r="2801">
          <cell r="B2801" t="str">
            <v>43343GEL</v>
          </cell>
          <cell r="C2801" t="str">
            <v>43343GEORGIA</v>
          </cell>
          <cell r="D2801" t="str">
            <v>GEL</v>
          </cell>
          <cell r="E2801">
            <v>5.3749190213799682</v>
          </cell>
          <cell r="F2801">
            <v>3.4110000000000005</v>
          </cell>
          <cell r="G2801" t="str">
            <v>GEORGIA</v>
          </cell>
          <cell r="H2801">
            <v>6</v>
          </cell>
        </row>
        <row r="2802">
          <cell r="B2802" t="str">
            <v>43343HKD</v>
          </cell>
          <cell r="C2802" t="str">
            <v>43343HONG KONG</v>
          </cell>
          <cell r="D2802" t="str">
            <v>HKD</v>
          </cell>
          <cell r="E2802">
            <v>4.549843711580829</v>
          </cell>
          <cell r="F2802">
            <v>2.508</v>
          </cell>
          <cell r="G2802" t="str">
            <v>HONG KONG</v>
          </cell>
          <cell r="H2802">
            <v>4</v>
          </cell>
        </row>
        <row r="2803">
          <cell r="B2803" t="str">
            <v>43343GHS</v>
          </cell>
          <cell r="C2803" t="str">
            <v>43343GHANA</v>
          </cell>
          <cell r="D2803" t="str">
            <v>GHS</v>
          </cell>
          <cell r="E2803">
            <v>9.7914061284129872</v>
          </cell>
          <cell r="F2803">
            <v>8.4853333333333332</v>
          </cell>
          <cell r="G2803" t="str">
            <v>GHANA</v>
          </cell>
          <cell r="H2803">
            <v>6</v>
          </cell>
        </row>
        <row r="2804">
          <cell r="B2804" t="str">
            <v>43343HRK</v>
          </cell>
          <cell r="C2804" t="str">
            <v>43343CROATIA</v>
          </cell>
          <cell r="D2804" t="str">
            <v>HRK</v>
          </cell>
          <cell r="E2804">
            <v>3.86533022719893</v>
          </cell>
          <cell r="F2804">
            <v>1.4946666666666666</v>
          </cell>
          <cell r="G2804" t="str">
            <v>CROATIA</v>
          </cell>
          <cell r="H2804">
            <v>6</v>
          </cell>
        </row>
        <row r="2805">
          <cell r="B2805" t="str">
            <v>43343HUF</v>
          </cell>
          <cell r="C2805" t="str">
            <v>43343HUNGARY</v>
          </cell>
          <cell r="D2805" t="str">
            <v>HUF</v>
          </cell>
          <cell r="E2805">
            <v>5.2682170776554829</v>
          </cell>
          <cell r="F2805">
            <v>2.9123333333333337</v>
          </cell>
          <cell r="G2805" t="str">
            <v>HUNGARY</v>
          </cell>
          <cell r="H2805">
            <v>5</v>
          </cell>
        </row>
        <row r="2806">
          <cell r="B2806" t="str">
            <v>43343IDR</v>
          </cell>
          <cell r="C2806" t="str">
            <v>43343INDONESIA</v>
          </cell>
          <cell r="D2806" t="str">
            <v>IDR</v>
          </cell>
          <cell r="E2806">
            <v>5.6468905422355755</v>
          </cell>
          <cell r="F2806">
            <v>3.4829999999999997</v>
          </cell>
          <cell r="G2806" t="str">
            <v>INDONESIA</v>
          </cell>
          <cell r="H2806">
            <v>5</v>
          </cell>
        </row>
        <row r="2807">
          <cell r="B2807" t="str">
            <v>43343ILS</v>
          </cell>
          <cell r="C2807" t="str">
            <v>43343ISRAEL</v>
          </cell>
          <cell r="D2807" t="str">
            <v>ILS</v>
          </cell>
          <cell r="E2807">
            <v>3.812250819199229</v>
          </cell>
          <cell r="F2807">
            <v>0.92933333333333334</v>
          </cell>
          <cell r="G2807" t="str">
            <v>ISRAEL</v>
          </cell>
          <cell r="H2807">
            <v>4</v>
          </cell>
        </row>
        <row r="2808">
          <cell r="B2808" t="str">
            <v>43343INR</v>
          </cell>
          <cell r="C2808" t="str">
            <v>43343INDIA</v>
          </cell>
          <cell r="D2808" t="str">
            <v>INR</v>
          </cell>
          <cell r="E2808">
            <v>7.1267796879755743</v>
          </cell>
          <cell r="F2808">
            <v>4.9550000000000001</v>
          </cell>
          <cell r="G2808" t="str">
            <v>INDIA</v>
          </cell>
          <cell r="H2808">
            <v>5</v>
          </cell>
        </row>
        <row r="2809">
          <cell r="B2809" t="str">
            <v>43343IQD</v>
          </cell>
          <cell r="C2809" t="str">
            <v>43343IRAQ</v>
          </cell>
          <cell r="D2809" t="str">
            <v>IQD</v>
          </cell>
          <cell r="E2809">
            <v>4.2500000000000018</v>
          </cell>
          <cell r="F2809">
            <v>2</v>
          </cell>
          <cell r="G2809" t="str">
            <v>IRAQ</v>
          </cell>
          <cell r="H2809">
            <v>6</v>
          </cell>
        </row>
        <row r="2810">
          <cell r="B2810" t="str">
            <v>43343JPY</v>
          </cell>
          <cell r="C2810" t="str">
            <v>43343JAPAN</v>
          </cell>
          <cell r="D2810" t="str">
            <v>JPY</v>
          </cell>
          <cell r="E2810">
            <v>3.476161867078579</v>
          </cell>
          <cell r="F2810">
            <v>1.111</v>
          </cell>
          <cell r="G2810" t="str">
            <v>JAPAN</v>
          </cell>
          <cell r="H2810">
            <v>4</v>
          </cell>
        </row>
        <row r="2811">
          <cell r="B2811" t="str">
            <v>43343KES</v>
          </cell>
          <cell r="C2811" t="str">
            <v>43343KENYA</v>
          </cell>
          <cell r="D2811" t="str">
            <v>KES</v>
          </cell>
          <cell r="E2811">
            <v>7.2163828523647258</v>
          </cell>
          <cell r="F2811">
            <v>4.8930000000000007</v>
          </cell>
          <cell r="G2811" t="str">
            <v>KENYA</v>
          </cell>
          <cell r="H2811">
            <v>7.5</v>
          </cell>
        </row>
        <row r="2812">
          <cell r="B2812" t="str">
            <v>43343JOD</v>
          </cell>
          <cell r="C2812" t="str">
            <v>43343JORDAN</v>
          </cell>
          <cell r="D2812" t="str">
            <v>JOD</v>
          </cell>
          <cell r="E2812">
            <v>4.5363507664002247</v>
          </cell>
          <cell r="F2812">
            <v>2.508</v>
          </cell>
          <cell r="G2812" t="str">
            <v>JORDAN</v>
          </cell>
          <cell r="H2812">
            <v>6</v>
          </cell>
        </row>
        <row r="2813">
          <cell r="B2813" t="str">
            <v>43343KHR</v>
          </cell>
          <cell r="C2813" t="str">
            <v>43343CAMBODIA</v>
          </cell>
          <cell r="D2813" t="str">
            <v>KHR</v>
          </cell>
          <cell r="E2813">
            <v>5.3931495883768257</v>
          </cell>
          <cell r="F2813">
            <v>3.2513333333333332</v>
          </cell>
          <cell r="G2813" t="str">
            <v>CAMBODIA</v>
          </cell>
          <cell r="H2813">
            <v>6</v>
          </cell>
        </row>
        <row r="2814">
          <cell r="B2814" t="str">
            <v>43343KRW</v>
          </cell>
          <cell r="C2814" t="str">
            <v>43343KOREA SOUTH(REPUBLIC OF KOREA)</v>
          </cell>
          <cell r="D2814" t="str">
            <v>KRW</v>
          </cell>
          <cell r="E2814">
            <v>4.1799442757868546</v>
          </cell>
          <cell r="F2814">
            <v>1.791666666666667</v>
          </cell>
          <cell r="G2814" t="str">
            <v>KOREA SOUTH(REPUBLIC OF KOREA)</v>
          </cell>
          <cell r="H2814">
            <v>5</v>
          </cell>
        </row>
        <row r="2815">
          <cell r="B2815" t="str">
            <v>43343KWD</v>
          </cell>
          <cell r="C2815" t="str">
            <v>43343KUWAIT</v>
          </cell>
          <cell r="D2815" t="str">
            <v>KWD</v>
          </cell>
          <cell r="E2815">
            <v>5.2691583576135494</v>
          </cell>
          <cell r="F2815">
            <v>2.9000000000000004</v>
          </cell>
          <cell r="G2815" t="str">
            <v>KUWAIT</v>
          </cell>
          <cell r="H2815">
            <v>6</v>
          </cell>
        </row>
        <row r="2816">
          <cell r="B2816" t="str">
            <v>43343LKR</v>
          </cell>
          <cell r="C2816" t="str">
            <v>43343SRI LANKA</v>
          </cell>
          <cell r="D2816" t="str">
            <v>LKR</v>
          </cell>
          <cell r="E2816">
            <v>7.0997856885606039</v>
          </cell>
          <cell r="F2816">
            <v>4.8159999999999998</v>
          </cell>
          <cell r="G2816" t="str">
            <v>SRI LANKA</v>
          </cell>
          <cell r="H2816">
            <v>6</v>
          </cell>
        </row>
        <row r="2817">
          <cell r="B2817" t="str">
            <v>43343KZT</v>
          </cell>
          <cell r="C2817" t="str">
            <v>43343KAZAKHSTAN</v>
          </cell>
          <cell r="D2817" t="str">
            <v>KZT</v>
          </cell>
          <cell r="E2817">
            <v>7.2005446867270875</v>
          </cell>
          <cell r="F2817">
            <v>6.1313333333333331</v>
          </cell>
          <cell r="G2817" t="str">
            <v>KAZAKHSTAN</v>
          </cell>
          <cell r="H2817">
            <v>6</v>
          </cell>
        </row>
        <row r="2818">
          <cell r="B2818" t="str">
            <v>43343MAD</v>
          </cell>
          <cell r="C2818" t="str">
            <v>43343MOROCCO</v>
          </cell>
          <cell r="D2818" t="str">
            <v>MAD</v>
          </cell>
          <cell r="E2818">
            <v>4.1297166463972115</v>
          </cell>
          <cell r="F2818">
            <v>1.5999999999999999</v>
          </cell>
          <cell r="G2818" t="str">
            <v>MOROCCO</v>
          </cell>
          <cell r="H2818">
            <v>6</v>
          </cell>
        </row>
        <row r="2819">
          <cell r="B2819" t="str">
            <v>43343MXN</v>
          </cell>
          <cell r="C2819" t="str">
            <v>43343MEXICO</v>
          </cell>
          <cell r="D2819" t="str">
            <v>MXN</v>
          </cell>
          <cell r="E2819">
            <v>5.5472396560453587</v>
          </cell>
          <cell r="F2819">
            <v>3.950333333333333</v>
          </cell>
          <cell r="G2819" t="str">
            <v>MEXICO</v>
          </cell>
          <cell r="H2819">
            <v>5</v>
          </cell>
        </row>
        <row r="2820">
          <cell r="B2820" t="str">
            <v>43343MYR</v>
          </cell>
          <cell r="C2820" t="str">
            <v>43343MALAYSIA</v>
          </cell>
          <cell r="D2820" t="str">
            <v>MYR</v>
          </cell>
          <cell r="E2820">
            <v>4.823345829513296</v>
          </cell>
          <cell r="F2820">
            <v>2.914333333333333</v>
          </cell>
          <cell r="G2820" t="str">
            <v>MALAYSIA</v>
          </cell>
          <cell r="H2820">
            <v>5.5</v>
          </cell>
        </row>
        <row r="2821">
          <cell r="B2821" t="str">
            <v>43343NGN</v>
          </cell>
          <cell r="C2821" t="str">
            <v>43343NIGERIA</v>
          </cell>
          <cell r="D2821" t="str">
            <v>NGN</v>
          </cell>
          <cell r="E2821">
            <v>16.648723451339723</v>
          </cell>
          <cell r="F2821">
            <v>14.279666666666667</v>
          </cell>
          <cell r="G2821" t="str">
            <v>NIGERIA</v>
          </cell>
          <cell r="H2821">
            <v>6</v>
          </cell>
        </row>
        <row r="2822">
          <cell r="B2822" t="str">
            <v>43343NOK</v>
          </cell>
          <cell r="C2822" t="str">
            <v>43343NORWAY</v>
          </cell>
          <cell r="D2822" t="str">
            <v>NOK</v>
          </cell>
          <cell r="E2822">
            <v>4.2299921522459796</v>
          </cell>
          <cell r="F2822">
            <v>1.9333333333333331</v>
          </cell>
          <cell r="G2822" t="str">
            <v>NORWAY</v>
          </cell>
          <cell r="H2822">
            <v>4</v>
          </cell>
        </row>
        <row r="2823">
          <cell r="B2823" t="str">
            <v>43343NZD</v>
          </cell>
          <cell r="C2823" t="str">
            <v>43343NEW ZEALAND</v>
          </cell>
          <cell r="D2823" t="str">
            <v>NZD</v>
          </cell>
          <cell r="E2823">
            <v>4.2091151889093217</v>
          </cell>
          <cell r="F2823">
            <v>1.8163333333333331</v>
          </cell>
          <cell r="G2823" t="str">
            <v>NEW ZEALAND</v>
          </cell>
          <cell r="H2823">
            <v>4</v>
          </cell>
        </row>
        <row r="2824">
          <cell r="B2824" t="str">
            <v>43343OMR</v>
          </cell>
          <cell r="C2824" t="str">
            <v>43343OMAN</v>
          </cell>
          <cell r="D2824" t="str">
            <v>OMR</v>
          </cell>
          <cell r="E2824">
            <v>5.3094832395648419</v>
          </cell>
          <cell r="F2824">
            <v>2.508</v>
          </cell>
          <cell r="G2824" t="str">
            <v>OMAN</v>
          </cell>
          <cell r="H2824">
            <v>6</v>
          </cell>
        </row>
        <row r="2825">
          <cell r="B2825" t="str">
            <v>43343PEN</v>
          </cell>
          <cell r="C2825" t="str">
            <v>43343PERU</v>
          </cell>
          <cell r="D2825" t="str">
            <v>PEN</v>
          </cell>
          <cell r="E2825">
            <v>4.1468520592144156</v>
          </cell>
          <cell r="F2825">
            <v>1.6910000000000001</v>
          </cell>
          <cell r="G2825" t="str">
            <v>PERU</v>
          </cell>
          <cell r="H2825">
            <v>5</v>
          </cell>
        </row>
        <row r="2826">
          <cell r="B2826" t="str">
            <v>43343PGK</v>
          </cell>
          <cell r="C2826" t="str">
            <v>43343PAPUA NEW GUINEA</v>
          </cell>
          <cell r="D2826" t="str">
            <v>PGK</v>
          </cell>
          <cell r="E2826">
            <v>4.7740010762102028</v>
          </cell>
          <cell r="F2826">
            <v>2.7806666666666664</v>
          </cell>
          <cell r="G2826" t="str">
            <v>PAPUA NEW GUINEA</v>
          </cell>
          <cell r="H2826">
            <v>6</v>
          </cell>
        </row>
        <row r="2827">
          <cell r="B2827" t="str">
            <v>43343PHP</v>
          </cell>
          <cell r="C2827" t="str">
            <v>43343PHILIPPINES</v>
          </cell>
          <cell r="D2827" t="str">
            <v>PHP</v>
          </cell>
          <cell r="E2827">
            <v>5.7348373287454049</v>
          </cell>
          <cell r="F2827">
            <v>4.0556666666666663</v>
          </cell>
          <cell r="G2827" t="str">
            <v>PHILIPPINES</v>
          </cell>
          <cell r="H2827">
            <v>5</v>
          </cell>
        </row>
        <row r="2828">
          <cell r="B2828" t="str">
            <v>43343PKR</v>
          </cell>
          <cell r="C2828" t="str">
            <v>43343PAKISTAN</v>
          </cell>
          <cell r="D2828" t="str">
            <v>PKR</v>
          </cell>
          <cell r="E2828">
            <v>7.29017488306856</v>
          </cell>
          <cell r="F2828">
            <v>5.0723333333333329</v>
          </cell>
          <cell r="G2828" t="str">
            <v>PAKISTAN</v>
          </cell>
          <cell r="H2828">
            <v>6</v>
          </cell>
        </row>
        <row r="2829">
          <cell r="B2829" t="str">
            <v>43343PLN</v>
          </cell>
          <cell r="C2829" t="str">
            <v>43343POLAND</v>
          </cell>
          <cell r="D2829" t="str">
            <v>PLN</v>
          </cell>
          <cell r="E2829">
            <v>4.763798302072745</v>
          </cell>
          <cell r="F2829">
            <v>2.5303333333333331</v>
          </cell>
          <cell r="G2829" t="str">
            <v>POLAND</v>
          </cell>
          <cell r="H2829">
            <v>4.5</v>
          </cell>
        </row>
        <row r="2830">
          <cell r="B2830" t="str">
            <v>43343QAR</v>
          </cell>
          <cell r="C2830" t="str">
            <v>43343QATAR</v>
          </cell>
          <cell r="D2830" t="str">
            <v>QAR</v>
          </cell>
          <cell r="E2830">
            <v>4.9382852669234847</v>
          </cell>
          <cell r="F2830">
            <v>2.508</v>
          </cell>
          <cell r="G2830" t="str">
            <v>QATAR</v>
          </cell>
          <cell r="H2830">
            <v>6</v>
          </cell>
        </row>
        <row r="2831">
          <cell r="B2831" t="str">
            <v>43343RON</v>
          </cell>
          <cell r="C2831" t="str">
            <v>43343ROMANIA</v>
          </cell>
          <cell r="D2831" t="str">
            <v>RON</v>
          </cell>
          <cell r="E2831">
            <v>5.6525231320469196</v>
          </cell>
          <cell r="F2831">
            <v>4.1273333333333326</v>
          </cell>
          <cell r="G2831" t="str">
            <v>ROMANIA</v>
          </cell>
          <cell r="H2831">
            <v>6</v>
          </cell>
        </row>
        <row r="2832">
          <cell r="B2832" t="str">
            <v>43343RUB</v>
          </cell>
          <cell r="C2832" t="str">
            <v>43343RUSSIAN FEDERATION</v>
          </cell>
          <cell r="D2832" t="str">
            <v>RUB</v>
          </cell>
          <cell r="E2832">
            <v>5.9488620798836358</v>
          </cell>
          <cell r="F2832">
            <v>3.083333333333333</v>
          </cell>
          <cell r="G2832" t="str">
            <v>RUSSIAN FEDERATION</v>
          </cell>
          <cell r="H2832">
            <v>8.5</v>
          </cell>
        </row>
        <row r="2833">
          <cell r="B2833" t="str">
            <v>43343SAR</v>
          </cell>
          <cell r="C2833" t="str">
            <v>43343SAUDI ARABIA</v>
          </cell>
          <cell r="D2833" t="str">
            <v>SAR</v>
          </cell>
          <cell r="E2833">
            <v>4.703978976525506</v>
          </cell>
          <cell r="F2833">
            <v>2.508</v>
          </cell>
          <cell r="G2833" t="str">
            <v>SAUDI ARABIA</v>
          </cell>
          <cell r="H2833">
            <v>5</v>
          </cell>
        </row>
        <row r="2834">
          <cell r="B2834" t="str">
            <v>43343SEK</v>
          </cell>
          <cell r="C2834" t="str">
            <v>43343SWEDEN</v>
          </cell>
          <cell r="D2834" t="str">
            <v>SEK</v>
          </cell>
          <cell r="E2834">
            <v>4.0598076330788748</v>
          </cell>
          <cell r="F2834">
            <v>1.5583333333333331</v>
          </cell>
          <cell r="G2834" t="str">
            <v>SWEDEN</v>
          </cell>
          <cell r="H2834">
            <v>4</v>
          </cell>
        </row>
        <row r="2835">
          <cell r="B2835" t="str">
            <v>43343SGD</v>
          </cell>
          <cell r="C2835" t="str">
            <v>43343SINGAPORE</v>
          </cell>
          <cell r="D2835" t="str">
            <v>SGD</v>
          </cell>
          <cell r="E2835">
            <v>3.312166572992651</v>
          </cell>
          <cell r="F2835">
            <v>1.1416666666666666</v>
          </cell>
          <cell r="G2835" t="str">
            <v>SINGAPORE</v>
          </cell>
          <cell r="H2835">
            <v>4</v>
          </cell>
        </row>
        <row r="2836">
          <cell r="B2836" t="str">
            <v>43343TZS</v>
          </cell>
          <cell r="C2836" t="str">
            <v>43343TANZANIA, UNITED REPUBLIC OF</v>
          </cell>
          <cell r="D2836" t="str">
            <v>TZS</v>
          </cell>
          <cell r="E2836">
            <v>7.2179804773861358</v>
          </cell>
          <cell r="F2836">
            <v>4.8933333333333335</v>
          </cell>
          <cell r="G2836" t="str">
            <v>TANZANIA, UNITED REPUBLIC OF</v>
          </cell>
          <cell r="H2836">
            <v>6</v>
          </cell>
        </row>
        <row r="2837">
          <cell r="B2837" t="str">
            <v>43343THB</v>
          </cell>
          <cell r="C2837" t="str">
            <v>43343THAILAND</v>
          </cell>
          <cell r="D2837" t="str">
            <v>THB</v>
          </cell>
          <cell r="E2837">
            <v>3.5240979583869994</v>
          </cell>
          <cell r="F2837">
            <v>1.1606666666666667</v>
          </cell>
          <cell r="G2837" t="str">
            <v>THAILAND</v>
          </cell>
          <cell r="H2837">
            <v>5</v>
          </cell>
        </row>
        <row r="2838">
          <cell r="B2838" t="str">
            <v>43343TRY</v>
          </cell>
          <cell r="C2838" t="str">
            <v>43343TURKEY</v>
          </cell>
          <cell r="D2838" t="str">
            <v>TRY</v>
          </cell>
          <cell r="E2838">
            <v>16.02498400780237</v>
          </cell>
          <cell r="F2838">
            <v>17</v>
          </cell>
          <cell r="G2838" t="str">
            <v>TURKEY</v>
          </cell>
          <cell r="H2838">
            <v>9</v>
          </cell>
        </row>
        <row r="2839">
          <cell r="B2839" t="str">
            <v>43343TWD</v>
          </cell>
          <cell r="C2839" t="str">
            <v>43343TAIWAN</v>
          </cell>
          <cell r="D2839" t="str">
            <v>TWD</v>
          </cell>
          <cell r="E2839">
            <v>3.9694214099952365</v>
          </cell>
          <cell r="F2839">
            <v>1.3</v>
          </cell>
          <cell r="G2839" t="str">
            <v>TAIWAN</v>
          </cell>
          <cell r="H2839">
            <v>5</v>
          </cell>
        </row>
        <row r="2840">
          <cell r="B2840" t="str">
            <v>43343UAH</v>
          </cell>
          <cell r="C2840" t="str">
            <v>43343UKRAINE</v>
          </cell>
          <cell r="D2840" t="str">
            <v>UAH</v>
          </cell>
          <cell r="E2840">
            <v>9.4308843600138506</v>
          </cell>
          <cell r="F2840">
            <v>10.009</v>
          </cell>
          <cell r="G2840" t="str">
            <v>UKRAINE</v>
          </cell>
          <cell r="H2840">
            <v>6</v>
          </cell>
        </row>
        <row r="2841">
          <cell r="B2841" t="str">
            <v>43343USD</v>
          </cell>
          <cell r="C2841" t="str">
            <v>43343UNITED STATES</v>
          </cell>
          <cell r="D2841" t="str">
            <v>USD</v>
          </cell>
          <cell r="E2841">
            <v>4.4933926525857961</v>
          </cell>
          <cell r="F2841">
            <v>2.508</v>
          </cell>
          <cell r="G2841" t="str">
            <v>UNITED STATES</v>
          </cell>
          <cell r="H2841">
            <v>4</v>
          </cell>
        </row>
        <row r="2842">
          <cell r="B2842" t="str">
            <v>43343VND</v>
          </cell>
          <cell r="C2842" t="str">
            <v>43343VIET NAM</v>
          </cell>
          <cell r="D2842" t="str">
            <v>VND</v>
          </cell>
          <cell r="E2842">
            <v>6.2099691952184157</v>
          </cell>
          <cell r="F2842">
            <v>3.8666666666666663</v>
          </cell>
          <cell r="G2842" t="str">
            <v>VIET NAM</v>
          </cell>
          <cell r="H2842">
            <v>6</v>
          </cell>
        </row>
        <row r="2843">
          <cell r="B2843" t="str">
            <v>43343XOF</v>
          </cell>
          <cell r="C2843" t="str">
            <v>43343MALI</v>
          </cell>
          <cell r="D2843" t="str">
            <v>XOF</v>
          </cell>
          <cell r="E2843">
            <v>4.0833610505822939</v>
          </cell>
          <cell r="F2843">
            <v>1.4616666666666667</v>
          </cell>
          <cell r="G2843" t="str">
            <v>MALI</v>
          </cell>
          <cell r="H2843">
            <v>6</v>
          </cell>
        </row>
        <row r="2844">
          <cell r="B2844" t="str">
            <v>43343ZAR</v>
          </cell>
          <cell r="C2844" t="str">
            <v>43343SOUTH AFRICA</v>
          </cell>
          <cell r="D2844" t="str">
            <v>ZAR</v>
          </cell>
          <cell r="E2844">
            <v>7.6571510417374791</v>
          </cell>
          <cell r="F2844">
            <v>5.2766666666666673</v>
          </cell>
          <cell r="G2844" t="str">
            <v>SOUTH AFRICA</v>
          </cell>
          <cell r="H2844">
            <v>5</v>
          </cell>
        </row>
        <row r="2845">
          <cell r="B2845" t="str">
            <v>43343ZMW</v>
          </cell>
          <cell r="C2845" t="str">
            <v>43343ZAMBIA</v>
          </cell>
          <cell r="D2845" t="str">
            <v>ZMW</v>
          </cell>
          <cell r="E2845">
            <v>10.298556318956157</v>
          </cell>
          <cell r="F2845">
            <v>8.1620000000000008</v>
          </cell>
          <cell r="G2845" t="str">
            <v>ZAMBIA</v>
          </cell>
          <cell r="H2845">
            <v>6</v>
          </cell>
        </row>
        <row r="2846">
          <cell r="B2846" t="str">
            <v>43343EUR1</v>
          </cell>
          <cell r="C2846" t="str">
            <v>43343BELGIUM</v>
          </cell>
          <cell r="D2846" t="str">
            <v>EUR1</v>
          </cell>
          <cell r="E2846">
            <v>4.0533982923157721</v>
          </cell>
          <cell r="F2846">
            <v>0</v>
          </cell>
          <cell r="G2846" t="str">
            <v>BELGIUM</v>
          </cell>
          <cell r="H2846">
            <v>4</v>
          </cell>
        </row>
        <row r="2847">
          <cell r="B2847" t="str">
            <v>43343EUR2</v>
          </cell>
          <cell r="C2847" t="str">
            <v>43343CYPRUS</v>
          </cell>
          <cell r="D2847" t="str">
            <v>EUR2</v>
          </cell>
          <cell r="E2847">
            <v>4.0533982923157721</v>
          </cell>
          <cell r="F2847">
            <v>0</v>
          </cell>
          <cell r="G2847" t="str">
            <v>CYPRUS</v>
          </cell>
          <cell r="H2847">
            <v>5</v>
          </cell>
        </row>
        <row r="2848">
          <cell r="B2848" t="str">
            <v>43343EUR3</v>
          </cell>
          <cell r="C2848" t="str">
            <v>43343ESTONIA</v>
          </cell>
          <cell r="D2848" t="str">
            <v>EUR3</v>
          </cell>
          <cell r="E2848">
            <v>4.0533982923157721</v>
          </cell>
          <cell r="F2848">
            <v>0</v>
          </cell>
          <cell r="G2848" t="str">
            <v>ESTONIA</v>
          </cell>
          <cell r="H2848">
            <v>6</v>
          </cell>
        </row>
        <row r="2849">
          <cell r="B2849" t="str">
            <v>43343EUR4</v>
          </cell>
          <cell r="C2849" t="str">
            <v>43343FINLAND</v>
          </cell>
          <cell r="D2849" t="str">
            <v>EUR4</v>
          </cell>
          <cell r="E2849">
            <v>4.0533982923157721</v>
          </cell>
          <cell r="F2849">
            <v>0</v>
          </cell>
          <cell r="G2849" t="str">
            <v>FINLAND</v>
          </cell>
          <cell r="H2849">
            <v>4</v>
          </cell>
        </row>
        <row r="2850">
          <cell r="B2850" t="str">
            <v>43343EUR5</v>
          </cell>
          <cell r="C2850" t="str">
            <v>43343FRANCE</v>
          </cell>
          <cell r="D2850" t="str">
            <v>EUR5</v>
          </cell>
          <cell r="E2850">
            <v>4.0533982923157721</v>
          </cell>
          <cell r="F2850">
            <v>0</v>
          </cell>
          <cell r="G2850" t="str">
            <v>FRANCE</v>
          </cell>
          <cell r="H2850">
            <v>4</v>
          </cell>
        </row>
        <row r="2851">
          <cell r="B2851" t="str">
            <v>43343EUR6</v>
          </cell>
          <cell r="C2851" t="str">
            <v>43343GERMANY</v>
          </cell>
          <cell r="D2851" t="str">
            <v>EUR6</v>
          </cell>
          <cell r="E2851">
            <v>4.0533982923157721</v>
          </cell>
          <cell r="F2851">
            <v>0</v>
          </cell>
          <cell r="G2851" t="str">
            <v>GERMANY</v>
          </cell>
          <cell r="H2851">
            <v>4.2822739845530942</v>
          </cell>
        </row>
        <row r="2852">
          <cell r="B2852" t="str">
            <v>43343EUR7</v>
          </cell>
          <cell r="C2852" t="str">
            <v>43343GREECE</v>
          </cell>
          <cell r="D2852" t="str">
            <v>EUR7</v>
          </cell>
          <cell r="E2852">
            <v>4.0533982923157721</v>
          </cell>
          <cell r="F2852">
            <v>0</v>
          </cell>
          <cell r="G2852" t="str">
            <v>GREECE</v>
          </cell>
          <cell r="H2852">
            <v>7</v>
          </cell>
        </row>
        <row r="2853">
          <cell r="B2853" t="str">
            <v>43343EUR8</v>
          </cell>
          <cell r="C2853" t="str">
            <v>43343IRELAND</v>
          </cell>
          <cell r="D2853" t="str">
            <v>EUR8</v>
          </cell>
          <cell r="E2853">
            <v>4.0533982923157721</v>
          </cell>
          <cell r="F2853">
            <v>0</v>
          </cell>
          <cell r="G2853" t="str">
            <v>IRELAND</v>
          </cell>
          <cell r="H2853">
            <v>4</v>
          </cell>
        </row>
        <row r="2854">
          <cell r="B2854" t="str">
            <v>43343EUR9</v>
          </cell>
          <cell r="C2854" t="str">
            <v>43343ITALY</v>
          </cell>
          <cell r="D2854" t="str">
            <v>EUR9</v>
          </cell>
          <cell r="E2854">
            <v>4.0533982923157721</v>
          </cell>
          <cell r="F2854">
            <v>0</v>
          </cell>
          <cell r="G2854" t="str">
            <v>ITALY</v>
          </cell>
          <cell r="H2854">
            <v>4.5</v>
          </cell>
        </row>
        <row r="2855">
          <cell r="B2855" t="str">
            <v>43343EUR10</v>
          </cell>
          <cell r="C2855" t="str">
            <v>43343LATVIA</v>
          </cell>
          <cell r="D2855" t="str">
            <v>EUR10</v>
          </cell>
          <cell r="E2855">
            <v>4.0533982923157721</v>
          </cell>
          <cell r="F2855">
            <v>0</v>
          </cell>
          <cell r="G2855" t="str">
            <v>LATVIA</v>
          </cell>
          <cell r="H2855">
            <v>6</v>
          </cell>
        </row>
        <row r="2856">
          <cell r="B2856" t="str">
            <v>43343EUR11</v>
          </cell>
          <cell r="C2856" t="str">
            <v>43343LUXEMBOURG</v>
          </cell>
          <cell r="D2856" t="str">
            <v>EUR11</v>
          </cell>
          <cell r="E2856">
            <v>4.0533982923157721</v>
          </cell>
          <cell r="F2856">
            <v>0</v>
          </cell>
          <cell r="G2856" t="str">
            <v>LUXEMBOURG</v>
          </cell>
          <cell r="H2856">
            <v>4</v>
          </cell>
        </row>
        <row r="2857">
          <cell r="B2857" t="str">
            <v>43343EUR12</v>
          </cell>
          <cell r="C2857" t="str">
            <v>43343MALTA</v>
          </cell>
          <cell r="D2857" t="str">
            <v>EUR12</v>
          </cell>
          <cell r="E2857">
            <v>4.0533982923157721</v>
          </cell>
          <cell r="F2857">
            <v>0</v>
          </cell>
          <cell r="G2857" t="str">
            <v>MALTA</v>
          </cell>
          <cell r="H2857">
            <v>4</v>
          </cell>
        </row>
        <row r="2858">
          <cell r="B2858" t="str">
            <v>43343EUR13</v>
          </cell>
          <cell r="C2858" t="str">
            <v>43343MONTENEGRO</v>
          </cell>
          <cell r="D2858" t="str">
            <v>EUR13</v>
          </cell>
          <cell r="E2858">
            <v>4.0533982923157721</v>
          </cell>
          <cell r="F2858">
            <v>0</v>
          </cell>
          <cell r="G2858" t="str">
            <v>MONTENEGRO</v>
          </cell>
          <cell r="H2858">
            <v>6</v>
          </cell>
        </row>
        <row r="2859">
          <cell r="B2859" t="str">
            <v>43343EUR14</v>
          </cell>
          <cell r="C2859" t="str">
            <v>43343NETHERLANDS</v>
          </cell>
          <cell r="D2859" t="str">
            <v>EUR14</v>
          </cell>
          <cell r="E2859">
            <v>4.0533982923157721</v>
          </cell>
          <cell r="F2859">
            <v>0</v>
          </cell>
          <cell r="G2859" t="str">
            <v>NETHERLANDS</v>
          </cell>
          <cell r="H2859">
            <v>4</v>
          </cell>
        </row>
        <row r="2860">
          <cell r="B2860" t="str">
            <v>43343EUR15</v>
          </cell>
          <cell r="C2860" t="str">
            <v>43343PORTUGAL</v>
          </cell>
          <cell r="D2860" t="str">
            <v>EUR15</v>
          </cell>
          <cell r="E2860">
            <v>4.0533982923157721</v>
          </cell>
          <cell r="F2860">
            <v>0</v>
          </cell>
          <cell r="G2860" t="str">
            <v>PORTUGAL</v>
          </cell>
          <cell r="H2860">
            <v>4</v>
          </cell>
        </row>
        <row r="2861">
          <cell r="B2861" t="str">
            <v>43343EUR16</v>
          </cell>
          <cell r="C2861" t="str">
            <v>43343SLOVAKIA</v>
          </cell>
          <cell r="D2861" t="str">
            <v>EUR16</v>
          </cell>
          <cell r="E2861">
            <v>4.0533982923157721</v>
          </cell>
          <cell r="F2861">
            <v>0</v>
          </cell>
          <cell r="G2861" t="str">
            <v>SLOVAKIA</v>
          </cell>
          <cell r="H2861">
            <v>5</v>
          </cell>
        </row>
        <row r="2862">
          <cell r="B2862" t="str">
            <v>43343EUR17</v>
          </cell>
          <cell r="C2862" t="str">
            <v>43343SLOVENIA</v>
          </cell>
          <cell r="D2862" t="str">
            <v>EUR17</v>
          </cell>
          <cell r="E2862">
            <v>4.0533982923157721</v>
          </cell>
          <cell r="F2862">
            <v>0</v>
          </cell>
          <cell r="G2862" t="str">
            <v>SLOVENIA</v>
          </cell>
          <cell r="H2862">
            <v>6</v>
          </cell>
        </row>
        <row r="2863">
          <cell r="B2863" t="str">
            <v>43343EUR18</v>
          </cell>
          <cell r="C2863" t="str">
            <v>43343SPAIN</v>
          </cell>
          <cell r="D2863" t="str">
            <v>EUR18</v>
          </cell>
          <cell r="E2863">
            <v>4.0533982923157721</v>
          </cell>
          <cell r="F2863">
            <v>0</v>
          </cell>
          <cell r="G2863" t="str">
            <v>SPAIN</v>
          </cell>
          <cell r="H2863">
            <v>4</v>
          </cell>
        </row>
        <row r="2864">
          <cell r="B2864" t="str">
            <v>43343EUR20</v>
          </cell>
          <cell r="C2864" t="str">
            <v>43343AUSTRIA</v>
          </cell>
          <cell r="D2864" t="str">
            <v>EUR20</v>
          </cell>
          <cell r="E2864">
            <v>4.0533982923157721</v>
          </cell>
          <cell r="F2864">
            <v>0</v>
          </cell>
          <cell r="G2864" t="str">
            <v>AUSTRIA</v>
          </cell>
          <cell r="H2864">
            <v>4</v>
          </cell>
        </row>
        <row r="2865">
          <cell r="B2865" t="str">
            <v>43343Eastern European Institutions</v>
          </cell>
          <cell r="C2865" t="str">
            <v>43343Eastern European Institutions</v>
          </cell>
          <cell r="D2865" t="str">
            <v>Eastern European Institutions</v>
          </cell>
          <cell r="E2865">
            <v>0</v>
          </cell>
          <cell r="G2865" t="str">
            <v>Eastern European Institutions</v>
          </cell>
          <cell r="H2865">
            <v>5</v>
          </cell>
        </row>
        <row r="2866">
          <cell r="B2866" t="str">
            <v>43373AED</v>
          </cell>
          <cell r="C2866" t="str">
            <v>43373U. A. E.</v>
          </cell>
          <cell r="D2866" t="str">
            <v>AED</v>
          </cell>
          <cell r="E2866">
            <v>4.5763881345327198</v>
          </cell>
          <cell r="F2866">
            <v>2.5170000000000003</v>
          </cell>
          <cell r="G2866" t="str">
            <v>U. A. E.</v>
          </cell>
          <cell r="H2866">
            <v>5</v>
          </cell>
        </row>
        <row r="2867">
          <cell r="B2867" t="str">
            <v>43373ARS</v>
          </cell>
          <cell r="C2867" t="str">
            <v>43373ARGENTINA</v>
          </cell>
          <cell r="D2867" t="str">
            <v>ARS</v>
          </cell>
          <cell r="E2867">
            <v>21.023310848088798</v>
          </cell>
          <cell r="F2867">
            <v>31.801749999999998</v>
          </cell>
          <cell r="G2867" t="str">
            <v>ARGENTINA</v>
          </cell>
          <cell r="H2867">
            <v>9</v>
          </cell>
        </row>
        <row r="2868">
          <cell r="B2868" t="str">
            <v>43373AUD</v>
          </cell>
          <cell r="C2868" t="str">
            <v>43373AUSTRALIA</v>
          </cell>
          <cell r="D2868" t="str">
            <v>AUD</v>
          </cell>
          <cell r="E2868">
            <v>4.6568915554525949</v>
          </cell>
          <cell r="F2868">
            <v>2.1967499999999998</v>
          </cell>
          <cell r="G2868" t="str">
            <v>AUSTRALIA</v>
          </cell>
          <cell r="H2868">
            <v>3.3930106927246708</v>
          </cell>
        </row>
        <row r="2869">
          <cell r="B2869" t="str">
            <v>43373BDT</v>
          </cell>
          <cell r="C2869" t="str">
            <v>43373BANGLADESH</v>
          </cell>
          <cell r="D2869" t="str">
            <v>BDT</v>
          </cell>
          <cell r="E2869">
            <v>8.1624067144062931</v>
          </cell>
          <cell r="F2869">
            <v>6.01</v>
          </cell>
          <cell r="G2869" t="str">
            <v>BANGLADESH</v>
          </cell>
          <cell r="H2869">
            <v>6</v>
          </cell>
        </row>
        <row r="2870">
          <cell r="B2870" t="str">
            <v>43373BRL</v>
          </cell>
          <cell r="C2870" t="str">
            <v>43373BRAZIL</v>
          </cell>
          <cell r="D2870" t="str">
            <v>BRL</v>
          </cell>
          <cell r="E2870">
            <v>6.229457530900099</v>
          </cell>
          <cell r="F2870">
            <v>3.7984999999999998</v>
          </cell>
          <cell r="G2870" t="str">
            <v>BRAZIL</v>
          </cell>
          <cell r="H2870">
            <v>7</v>
          </cell>
        </row>
        <row r="2871">
          <cell r="B2871" t="str">
            <v>43373BWP</v>
          </cell>
          <cell r="C2871" t="str">
            <v>43373BOTSWANA</v>
          </cell>
          <cell r="D2871" t="str">
            <v>BWP</v>
          </cell>
          <cell r="E2871">
            <v>6.114982354009272</v>
          </cell>
          <cell r="F2871">
            <v>3.8147500000000001</v>
          </cell>
          <cell r="G2871" t="str">
            <v>BOTSWANA</v>
          </cell>
          <cell r="H2871">
            <v>6</v>
          </cell>
        </row>
        <row r="2872">
          <cell r="B2872" t="str">
            <v>43373CAD</v>
          </cell>
          <cell r="C2872" t="str">
            <v>43373CANADA</v>
          </cell>
          <cell r="D2872" t="str">
            <v>CAD</v>
          </cell>
          <cell r="E2872">
            <v>4.4668369572793001</v>
          </cell>
          <cell r="F2872">
            <v>2.4824999999999999</v>
          </cell>
          <cell r="G2872" t="str">
            <v>CANADA</v>
          </cell>
          <cell r="H2872">
            <v>4</v>
          </cell>
        </row>
        <row r="2873">
          <cell r="B2873" t="str">
            <v>43373CHF</v>
          </cell>
          <cell r="C2873" t="str">
            <v>43373SWITZERLAND</v>
          </cell>
          <cell r="D2873" t="str">
            <v>CHF</v>
          </cell>
          <cell r="E2873">
            <v>3.3385005739082132</v>
          </cell>
          <cell r="F2873">
            <v>1.1492500000000001</v>
          </cell>
          <cell r="G2873" t="str">
            <v>SWITZERLAND</v>
          </cell>
          <cell r="H2873">
            <v>4</v>
          </cell>
        </row>
        <row r="2874">
          <cell r="B2874" t="str">
            <v>43373CLP</v>
          </cell>
          <cell r="C2874" t="str">
            <v>43373CHILE</v>
          </cell>
          <cell r="D2874" t="str">
            <v>CLP</v>
          </cell>
          <cell r="E2874">
            <v>5.1477533377246845</v>
          </cell>
          <cell r="F2874">
            <v>2.5969999999999995</v>
          </cell>
          <cell r="G2874" t="str">
            <v>CHILE</v>
          </cell>
          <cell r="H2874">
            <v>5</v>
          </cell>
        </row>
        <row r="2875">
          <cell r="B2875" t="str">
            <v>43373CNY</v>
          </cell>
          <cell r="C2875" t="str">
            <v>43373CHINA</v>
          </cell>
          <cell r="D2875" t="str">
            <v>CNY</v>
          </cell>
          <cell r="E2875">
            <v>4.8340631291142557</v>
          </cell>
          <cell r="F2875">
            <v>2.2400000000000002</v>
          </cell>
          <cell r="G2875" t="str">
            <v>CHINA</v>
          </cell>
          <cell r="H2875">
            <v>5</v>
          </cell>
        </row>
        <row r="2876">
          <cell r="B2876" t="str">
            <v>43373COP</v>
          </cell>
          <cell r="C2876" t="str">
            <v>43373COLOMBIA</v>
          </cell>
          <cell r="D2876" t="str">
            <v>COP</v>
          </cell>
          <cell r="E2876">
            <v>5.3813071504420087</v>
          </cell>
          <cell r="F2876">
            <v>3.2510000000000003</v>
          </cell>
          <cell r="G2876" t="str">
            <v>COLOMBIA</v>
          </cell>
          <cell r="H2876">
            <v>5</v>
          </cell>
        </row>
        <row r="2877">
          <cell r="B2877" t="str">
            <v>43373CZK</v>
          </cell>
          <cell r="C2877" t="str">
            <v>43373CZECH REPUBLIC</v>
          </cell>
          <cell r="D2877" t="str">
            <v>CZK</v>
          </cell>
          <cell r="E2877">
            <v>4.3812732030118742</v>
          </cell>
          <cell r="F2877">
            <v>2.3312499999999998</v>
          </cell>
          <cell r="G2877" t="str">
            <v>CZECH REPUBLIC</v>
          </cell>
          <cell r="H2877">
            <v>5</v>
          </cell>
        </row>
        <row r="2878">
          <cell r="B2878" t="str">
            <v>43373DKK</v>
          </cell>
          <cell r="C2878" t="str">
            <v>43373DENMARK</v>
          </cell>
          <cell r="D2878" t="str">
            <v>DKK</v>
          </cell>
          <cell r="E2878">
            <v>4.0697167716395457</v>
          </cell>
          <cell r="F2878">
            <v>1.4750000000000001</v>
          </cell>
          <cell r="G2878" t="str">
            <v>DENMARK</v>
          </cell>
          <cell r="H2878">
            <v>4</v>
          </cell>
        </row>
        <row r="2879">
          <cell r="B2879" t="str">
            <v>43373EGP</v>
          </cell>
          <cell r="C2879" t="str">
            <v>43373EGYPT</v>
          </cell>
          <cell r="D2879" t="str">
            <v>EGP</v>
          </cell>
          <cell r="E2879">
            <v>14.30394658352632</v>
          </cell>
          <cell r="F2879">
            <v>19.143250000000002</v>
          </cell>
          <cell r="G2879" t="str">
            <v>EGYPT</v>
          </cell>
          <cell r="H2879">
            <v>5</v>
          </cell>
        </row>
        <row r="2880">
          <cell r="B2880" t="str">
            <v>43373EUR</v>
          </cell>
          <cell r="D2880" t="str">
            <v>EUR</v>
          </cell>
          <cell r="E2880">
            <v>4.0981112474149075</v>
          </cell>
          <cell r="F2880">
            <v>1.7025000000000001</v>
          </cell>
          <cell r="H2880">
            <v>0</v>
          </cell>
        </row>
        <row r="2881">
          <cell r="B2881" t="str">
            <v>43373GBP</v>
          </cell>
          <cell r="C2881" t="str">
            <v>43373UNITED KINGDOM</v>
          </cell>
          <cell r="D2881" t="str">
            <v>GBP</v>
          </cell>
          <cell r="E2881">
            <v>4.387208065685714</v>
          </cell>
          <cell r="F2881">
            <v>2.42625</v>
          </cell>
          <cell r="G2881" t="str">
            <v>UNITED KINGDOM</v>
          </cell>
          <cell r="H2881">
            <v>4</v>
          </cell>
        </row>
        <row r="2882">
          <cell r="B2882" t="str">
            <v>43373GEL</v>
          </cell>
          <cell r="C2882" t="str">
            <v>43373GEORGIA</v>
          </cell>
          <cell r="D2882" t="str">
            <v>GEL</v>
          </cell>
          <cell r="E2882">
            <v>5.1499270413246458</v>
          </cell>
          <cell r="F2882">
            <v>2.7524999999999995</v>
          </cell>
          <cell r="G2882" t="str">
            <v>GEORGIA</v>
          </cell>
          <cell r="H2882">
            <v>6</v>
          </cell>
        </row>
        <row r="2883">
          <cell r="B2883" t="str">
            <v>43373HKD</v>
          </cell>
          <cell r="C2883" t="str">
            <v>43373HONG KONG</v>
          </cell>
          <cell r="D2883" t="str">
            <v>HKD</v>
          </cell>
          <cell r="E2883">
            <v>4.5499022481772657</v>
          </cell>
          <cell r="F2883">
            <v>2.5170000000000003</v>
          </cell>
          <cell r="G2883" t="str">
            <v>HONG KONG</v>
          </cell>
          <cell r="H2883">
            <v>4</v>
          </cell>
        </row>
        <row r="2884">
          <cell r="B2884" t="str">
            <v>43373GHS</v>
          </cell>
          <cell r="C2884" t="str">
            <v>43373GHANA</v>
          </cell>
          <cell r="D2884" t="str">
            <v>GHS</v>
          </cell>
          <cell r="E2884">
            <v>9.9381810217126265</v>
          </cell>
          <cell r="F2884">
            <v>9.1039999999999992</v>
          </cell>
          <cell r="G2884" t="str">
            <v>GHANA</v>
          </cell>
          <cell r="H2884">
            <v>6</v>
          </cell>
        </row>
        <row r="2885">
          <cell r="B2885" t="str">
            <v>43373HRK</v>
          </cell>
          <cell r="C2885" t="str">
            <v>43373CROATIA</v>
          </cell>
          <cell r="D2885" t="str">
            <v>HRK</v>
          </cell>
          <cell r="E2885">
            <v>3.8683343119309468</v>
          </cell>
          <cell r="F2885">
            <v>1.575</v>
          </cell>
          <cell r="G2885" t="str">
            <v>CROATIA</v>
          </cell>
          <cell r="H2885">
            <v>6</v>
          </cell>
        </row>
        <row r="2886">
          <cell r="B2886" t="str">
            <v>43373HUF</v>
          </cell>
          <cell r="C2886" t="str">
            <v>43373HUNGARY</v>
          </cell>
          <cell r="D2886" t="str">
            <v>HUF</v>
          </cell>
          <cell r="E2886">
            <v>5.238892729429482</v>
          </cell>
          <cell r="F2886">
            <v>2.9190000000000005</v>
          </cell>
          <cell r="G2886" t="str">
            <v>HUNGARY</v>
          </cell>
          <cell r="H2886">
            <v>5</v>
          </cell>
        </row>
        <row r="2887">
          <cell r="B2887" t="str">
            <v>43373IDR</v>
          </cell>
          <cell r="C2887" t="str">
            <v>43373INDONESIA</v>
          </cell>
          <cell r="D2887" t="str">
            <v>IDR</v>
          </cell>
          <cell r="E2887">
            <v>5.7431065369510517</v>
          </cell>
          <cell r="F2887">
            <v>3.5175000000000001</v>
          </cell>
          <cell r="G2887" t="str">
            <v>INDONESIA</v>
          </cell>
          <cell r="H2887">
            <v>5</v>
          </cell>
        </row>
        <row r="2888">
          <cell r="B2888" t="str">
            <v>43373ILS</v>
          </cell>
          <cell r="C2888" t="str">
            <v>43373ISRAEL</v>
          </cell>
          <cell r="D2888" t="str">
            <v>ILS</v>
          </cell>
          <cell r="E2888">
            <v>3.8436736991877476</v>
          </cell>
          <cell r="F2888">
            <v>0.99250000000000005</v>
          </cell>
          <cell r="G2888" t="str">
            <v>ISRAEL</v>
          </cell>
          <cell r="H2888">
            <v>4</v>
          </cell>
        </row>
        <row r="2889">
          <cell r="B2889" t="str">
            <v>43373INR</v>
          </cell>
          <cell r="C2889" t="str">
            <v>43373INDIA</v>
          </cell>
          <cell r="D2889" t="str">
            <v>INR</v>
          </cell>
          <cell r="E2889">
            <v>6.7575824416055177</v>
          </cell>
          <cell r="F2889">
            <v>4.7729999999999997</v>
          </cell>
          <cell r="G2889" t="str">
            <v>INDIA</v>
          </cell>
          <cell r="H2889">
            <v>5</v>
          </cell>
        </row>
        <row r="2890">
          <cell r="B2890" t="str">
            <v>43373IQD</v>
          </cell>
          <cell r="C2890" t="str">
            <v>43373IRAQ</v>
          </cell>
          <cell r="D2890" t="str">
            <v>IQD</v>
          </cell>
          <cell r="E2890">
            <v>4.2500000000000018</v>
          </cell>
          <cell r="F2890">
            <v>2</v>
          </cell>
          <cell r="G2890" t="str">
            <v>IRAQ</v>
          </cell>
          <cell r="H2890">
            <v>6</v>
          </cell>
        </row>
        <row r="2891">
          <cell r="B2891" t="str">
            <v>43373JPY</v>
          </cell>
          <cell r="C2891" t="str">
            <v>43373JAPAN</v>
          </cell>
          <cell r="D2891" t="str">
            <v>JPY</v>
          </cell>
          <cell r="E2891">
            <v>3.5355980547647361</v>
          </cell>
          <cell r="F2891">
            <v>1.2287499999999998</v>
          </cell>
          <cell r="G2891" t="str">
            <v>JAPAN</v>
          </cell>
          <cell r="H2891">
            <v>4</v>
          </cell>
        </row>
        <row r="2892">
          <cell r="B2892" t="str">
            <v>43373KES</v>
          </cell>
          <cell r="C2892" t="str">
            <v>43373KENYA</v>
          </cell>
          <cell r="D2892" t="str">
            <v>KES</v>
          </cell>
          <cell r="E2892">
            <v>7.3743505678601364</v>
          </cell>
          <cell r="F2892">
            <v>5.1762499999999996</v>
          </cell>
          <cell r="G2892" t="str">
            <v>KENYA</v>
          </cell>
          <cell r="H2892">
            <v>7.5</v>
          </cell>
        </row>
        <row r="2893">
          <cell r="B2893" t="str">
            <v>43373JOD</v>
          </cell>
          <cell r="C2893" t="str">
            <v>43373JORDAN</v>
          </cell>
          <cell r="D2893" t="str">
            <v>JOD</v>
          </cell>
          <cell r="E2893">
            <v>5.0590495695116235</v>
          </cell>
          <cell r="F2893">
            <v>2.5170000000000003</v>
          </cell>
          <cell r="G2893" t="str">
            <v>JORDAN</v>
          </cell>
          <cell r="H2893">
            <v>6</v>
          </cell>
        </row>
        <row r="2894">
          <cell r="B2894" t="str">
            <v>43373KHR</v>
          </cell>
          <cell r="C2894" t="str">
            <v>43373CAMBODIA</v>
          </cell>
          <cell r="D2894" t="str">
            <v>KHR</v>
          </cell>
          <cell r="E2894">
            <v>5.430331943699799</v>
          </cell>
          <cell r="F2894">
            <v>3.3005000000000004</v>
          </cell>
          <cell r="G2894" t="str">
            <v>CAMBODIA</v>
          </cell>
          <cell r="H2894">
            <v>6</v>
          </cell>
        </row>
        <row r="2895">
          <cell r="B2895" t="str">
            <v>43373KRW</v>
          </cell>
          <cell r="C2895" t="str">
            <v>43373KOREA SOUTH(REPUBLIC OF KOREA)</v>
          </cell>
          <cell r="D2895" t="str">
            <v>KRW</v>
          </cell>
          <cell r="E2895">
            <v>4.0999905930975169</v>
          </cell>
          <cell r="F2895">
            <v>1.5507499999999999</v>
          </cell>
          <cell r="G2895" t="str">
            <v>KOREA SOUTH(REPUBLIC OF KOREA)</v>
          </cell>
          <cell r="H2895">
            <v>5</v>
          </cell>
        </row>
        <row r="2896">
          <cell r="B2896" t="str">
            <v>43373KWD</v>
          </cell>
          <cell r="C2896" t="str">
            <v>43373KUWAIT</v>
          </cell>
          <cell r="D2896" t="str">
            <v>KWD</v>
          </cell>
          <cell r="E2896">
            <v>4.9053364266628243</v>
          </cell>
          <cell r="F2896">
            <v>1.35</v>
          </cell>
          <cell r="G2896" t="str">
            <v>KUWAIT</v>
          </cell>
          <cell r="H2896">
            <v>6</v>
          </cell>
        </row>
        <row r="2897">
          <cell r="B2897" t="str">
            <v>43373LKR</v>
          </cell>
          <cell r="C2897" t="str">
            <v>43373SRI LANKA</v>
          </cell>
          <cell r="D2897" t="str">
            <v>LKR</v>
          </cell>
          <cell r="E2897">
            <v>7.0997856885606039</v>
          </cell>
          <cell r="F2897">
            <v>4.824250000000001</v>
          </cell>
          <cell r="G2897" t="str">
            <v>SRI LANKA</v>
          </cell>
          <cell r="H2897">
            <v>6</v>
          </cell>
        </row>
        <row r="2898">
          <cell r="B2898" t="str">
            <v>43373KZT</v>
          </cell>
          <cell r="C2898" t="str">
            <v>43373KAZAKHSTAN</v>
          </cell>
          <cell r="D2898" t="str">
            <v>KZT</v>
          </cell>
          <cell r="E2898">
            <v>7.1643899804527713</v>
          </cell>
          <cell r="F2898">
            <v>6.2012499999999999</v>
          </cell>
          <cell r="G2898" t="str">
            <v>KAZAKHSTAN</v>
          </cell>
          <cell r="H2898">
            <v>6</v>
          </cell>
        </row>
        <row r="2899">
          <cell r="B2899" t="str">
            <v>43373MAD</v>
          </cell>
          <cell r="C2899" t="str">
            <v>43373MOROCCO</v>
          </cell>
          <cell r="D2899" t="str">
            <v>MAD</v>
          </cell>
          <cell r="E2899">
            <v>4.2094972584157544</v>
          </cell>
          <cell r="F2899">
            <v>2.15</v>
          </cell>
          <cell r="G2899" t="str">
            <v>MOROCCO</v>
          </cell>
          <cell r="H2899">
            <v>6</v>
          </cell>
        </row>
        <row r="2900">
          <cell r="B2900" t="str">
            <v>43373MXN</v>
          </cell>
          <cell r="C2900" t="str">
            <v>43373MEXICO</v>
          </cell>
          <cell r="D2900" t="str">
            <v>MXN</v>
          </cell>
          <cell r="E2900">
            <v>5.7263348984777842</v>
          </cell>
          <cell r="F2900">
            <v>4.4790000000000001</v>
          </cell>
          <cell r="G2900" t="str">
            <v>MEXICO</v>
          </cell>
          <cell r="H2900">
            <v>6</v>
          </cell>
        </row>
        <row r="2901">
          <cell r="B2901" t="str">
            <v>43373MYR</v>
          </cell>
          <cell r="C2901" t="str">
            <v>43373MALAYSIA</v>
          </cell>
          <cell r="D2901" t="str">
            <v>MYR</v>
          </cell>
          <cell r="E2901">
            <v>4.4011107220461678</v>
          </cell>
          <cell r="F2901">
            <v>1.319</v>
          </cell>
          <cell r="G2901" t="str">
            <v>MALAYSIA</v>
          </cell>
          <cell r="H2901">
            <v>5.5</v>
          </cell>
        </row>
        <row r="2902">
          <cell r="B2902" t="str">
            <v>43373NGN</v>
          </cell>
          <cell r="C2902" t="str">
            <v>43373NIGERIA</v>
          </cell>
          <cell r="D2902" t="str">
            <v>NGN</v>
          </cell>
          <cell r="E2902">
            <v>15.777511345173515</v>
          </cell>
          <cell r="F2902">
            <v>12.677499999999998</v>
          </cell>
          <cell r="G2902" t="str">
            <v>NIGERIA</v>
          </cell>
          <cell r="H2902">
            <v>6</v>
          </cell>
        </row>
        <row r="2903">
          <cell r="B2903" t="str">
            <v>43373NOK</v>
          </cell>
          <cell r="C2903" t="str">
            <v>43373NORWAY</v>
          </cell>
          <cell r="D2903" t="str">
            <v>NOK</v>
          </cell>
          <cell r="E2903">
            <v>4.2299921522459796</v>
          </cell>
          <cell r="F2903">
            <v>1.9249999999999998</v>
          </cell>
          <cell r="G2903" t="str">
            <v>NORWAY</v>
          </cell>
          <cell r="H2903">
            <v>4</v>
          </cell>
        </row>
        <row r="2904">
          <cell r="B2904" t="str">
            <v>43373NZD</v>
          </cell>
          <cell r="C2904" t="str">
            <v>43373NEW ZEALAND</v>
          </cell>
          <cell r="D2904" t="str">
            <v>NZD</v>
          </cell>
          <cell r="E2904">
            <v>4.0657268075408517</v>
          </cell>
          <cell r="F2904">
            <v>1.4782500000000001</v>
          </cell>
          <cell r="G2904" t="str">
            <v>NEW ZEALAND</v>
          </cell>
          <cell r="H2904">
            <v>4</v>
          </cell>
        </row>
        <row r="2905">
          <cell r="B2905" t="str">
            <v>43373OMR</v>
          </cell>
          <cell r="C2905" t="str">
            <v>43373OMAN</v>
          </cell>
          <cell r="D2905" t="str">
            <v>OMR</v>
          </cell>
          <cell r="E2905">
            <v>5.0877186405923904</v>
          </cell>
          <cell r="F2905">
            <v>2.5170000000000003</v>
          </cell>
          <cell r="G2905" t="str">
            <v>OMAN</v>
          </cell>
          <cell r="H2905">
            <v>6</v>
          </cell>
        </row>
        <row r="2906">
          <cell r="B2906" t="str">
            <v>43373PEN</v>
          </cell>
          <cell r="C2906" t="str">
            <v>43373PERU</v>
          </cell>
          <cell r="D2906" t="str">
            <v>PEN</v>
          </cell>
          <cell r="E2906">
            <v>4.1289134004498331</v>
          </cell>
          <cell r="F2906">
            <v>1.5509999999999999</v>
          </cell>
          <cell r="G2906" t="str">
            <v>PERU</v>
          </cell>
          <cell r="H2906">
            <v>5</v>
          </cell>
        </row>
        <row r="2907">
          <cell r="B2907" t="str">
            <v>43373PGK</v>
          </cell>
          <cell r="C2907" t="str">
            <v>43373PAPUA NEW GUINEA</v>
          </cell>
          <cell r="D2907" t="str">
            <v>PGK</v>
          </cell>
          <cell r="E2907">
            <v>6.1404805572603784</v>
          </cell>
          <cell r="F2907">
            <v>4.101</v>
          </cell>
          <cell r="G2907" t="str">
            <v>PAPUA NEW GUINEA</v>
          </cell>
          <cell r="H2907">
            <v>6</v>
          </cell>
        </row>
        <row r="2908">
          <cell r="B2908" t="str">
            <v>43373PHP</v>
          </cell>
          <cell r="C2908" t="str">
            <v>43373PHILIPPINES</v>
          </cell>
          <cell r="D2908" t="str">
            <v>PHP</v>
          </cell>
          <cell r="E2908">
            <v>5.9210541921415984</v>
          </cell>
          <cell r="F2908">
            <v>4.71075</v>
          </cell>
          <cell r="G2908" t="str">
            <v>PHILIPPINES</v>
          </cell>
          <cell r="H2908">
            <v>5</v>
          </cell>
        </row>
        <row r="2909">
          <cell r="B2909" t="str">
            <v>43373PKR</v>
          </cell>
          <cell r="C2909" t="str">
            <v>43373PAKISTAN</v>
          </cell>
          <cell r="D2909" t="str">
            <v>PKR</v>
          </cell>
          <cell r="E2909">
            <v>7.8170271879906696</v>
          </cell>
          <cell r="F2909">
            <v>4.8127499999999994</v>
          </cell>
          <cell r="G2909" t="str">
            <v>PAKISTAN</v>
          </cell>
          <cell r="H2909">
            <v>6</v>
          </cell>
        </row>
        <row r="2910">
          <cell r="B2910" t="str">
            <v>43373PLN</v>
          </cell>
          <cell r="C2910" t="str">
            <v>43373POLAND</v>
          </cell>
          <cell r="D2910" t="str">
            <v>PLN</v>
          </cell>
          <cell r="E2910">
            <v>4.7136441877784465</v>
          </cell>
          <cell r="F2910">
            <v>2.1995</v>
          </cell>
          <cell r="G2910" t="str">
            <v>POLAND</v>
          </cell>
          <cell r="H2910">
            <v>4.5</v>
          </cell>
        </row>
        <row r="2911">
          <cell r="B2911" t="str">
            <v>43373QAR</v>
          </cell>
          <cell r="C2911" t="str">
            <v>43373QATAR</v>
          </cell>
          <cell r="D2911" t="str">
            <v>QAR</v>
          </cell>
          <cell r="E2911">
            <v>4.9628101214862976</v>
          </cell>
          <cell r="F2911">
            <v>2.5170000000000003</v>
          </cell>
          <cell r="G2911" t="str">
            <v>QATAR</v>
          </cell>
          <cell r="H2911">
            <v>6</v>
          </cell>
        </row>
        <row r="2912">
          <cell r="B2912" t="str">
            <v>43373RON</v>
          </cell>
          <cell r="C2912" t="str">
            <v>43373ROMANIA</v>
          </cell>
          <cell r="D2912" t="str">
            <v>RON</v>
          </cell>
          <cell r="E2912">
            <v>5.3010586188400302</v>
          </cell>
          <cell r="F2912">
            <v>4.1697499999999996</v>
          </cell>
          <cell r="G2912" t="str">
            <v>ROMANIA</v>
          </cell>
          <cell r="H2912">
            <v>6</v>
          </cell>
        </row>
        <row r="2913">
          <cell r="B2913" t="str">
            <v>43373RUB</v>
          </cell>
          <cell r="C2913" t="str">
            <v>43373RUSSIAN FEDERATION</v>
          </cell>
          <cell r="D2913" t="str">
            <v>RUB</v>
          </cell>
          <cell r="E2913">
            <v>6.7095097565928388</v>
          </cell>
          <cell r="F2913">
            <v>3.3914999999999997</v>
          </cell>
          <cell r="G2913" t="str">
            <v>RUSSIAN FEDERATION</v>
          </cell>
          <cell r="H2913">
            <v>8.5</v>
          </cell>
        </row>
        <row r="2914">
          <cell r="B2914" t="str">
            <v>43373SAR</v>
          </cell>
          <cell r="C2914" t="str">
            <v>43373SAUDI ARABIA</v>
          </cell>
          <cell r="D2914" t="str">
            <v>SAR</v>
          </cell>
          <cell r="E2914">
            <v>4.4878122874579631</v>
          </cell>
          <cell r="F2914">
            <v>2.5170000000000003</v>
          </cell>
          <cell r="G2914" t="str">
            <v>SAUDI ARABIA</v>
          </cell>
          <cell r="H2914">
            <v>5</v>
          </cell>
        </row>
        <row r="2915">
          <cell r="B2915" t="str">
            <v>43373SEK</v>
          </cell>
          <cell r="C2915" t="str">
            <v>43373SWEDEN</v>
          </cell>
          <cell r="D2915" t="str">
            <v>SEK</v>
          </cell>
          <cell r="E2915">
            <v>4.1247604879620905</v>
          </cell>
          <cell r="F2915">
            <v>1.8809999999999998</v>
          </cell>
          <cell r="G2915" t="str">
            <v>SWEDEN</v>
          </cell>
          <cell r="H2915">
            <v>4</v>
          </cell>
        </row>
        <row r="2916">
          <cell r="B2916" t="str">
            <v>43373SGD</v>
          </cell>
          <cell r="C2916" t="str">
            <v>43373SINGAPORE</v>
          </cell>
          <cell r="D2916" t="str">
            <v>SGD</v>
          </cell>
          <cell r="E2916">
            <v>3.5499026973653516</v>
          </cell>
          <cell r="F2916">
            <v>1.1192500000000001</v>
          </cell>
          <cell r="G2916" t="str">
            <v>SINGAPORE</v>
          </cell>
          <cell r="H2916">
            <v>4</v>
          </cell>
        </row>
        <row r="2917">
          <cell r="B2917" t="str">
            <v>43373TZS</v>
          </cell>
          <cell r="C2917" t="str">
            <v>43373TANZANIA, UNITED REPUBLIC OF</v>
          </cell>
          <cell r="D2917" t="str">
            <v>TZS</v>
          </cell>
          <cell r="E2917">
            <v>6.9391594893653687</v>
          </cell>
          <cell r="F2917">
            <v>4.0117500000000001</v>
          </cell>
          <cell r="G2917" t="str">
            <v>TANZANIA, UNITED REPUBLIC OF</v>
          </cell>
          <cell r="H2917">
            <v>6</v>
          </cell>
        </row>
        <row r="2918">
          <cell r="B2918" t="str">
            <v>43373THB</v>
          </cell>
          <cell r="C2918" t="str">
            <v>43373THAILAND</v>
          </cell>
          <cell r="D2918" t="str">
            <v>THB</v>
          </cell>
          <cell r="E2918">
            <v>3.4762411322035538</v>
          </cell>
          <cell r="F2918">
            <v>0.91749999999999998</v>
          </cell>
          <cell r="G2918" t="str">
            <v>THAILAND</v>
          </cell>
          <cell r="H2918">
            <v>5.0736615651617978</v>
          </cell>
        </row>
        <row r="2919">
          <cell r="B2919" t="str">
            <v>43373TRY</v>
          </cell>
          <cell r="C2919" t="str">
            <v>43373TURKEY</v>
          </cell>
          <cell r="D2919" t="str">
            <v>TRY</v>
          </cell>
          <cell r="E2919">
            <v>16.705093575227608</v>
          </cell>
          <cell r="F2919">
            <v>15.434749999999998</v>
          </cell>
          <cell r="G2919" t="str">
            <v>TURKEY</v>
          </cell>
          <cell r="H2919">
            <v>7</v>
          </cell>
        </row>
        <row r="2920">
          <cell r="B2920" t="str">
            <v>43373TWD</v>
          </cell>
          <cell r="C2920" t="str">
            <v>43373TAIWAN</v>
          </cell>
          <cell r="D2920" t="str">
            <v>TWD</v>
          </cell>
          <cell r="E2920">
            <v>3.8497638176941109</v>
          </cell>
          <cell r="F2920">
            <v>1.45</v>
          </cell>
          <cell r="G2920" t="str">
            <v>TAIWAN</v>
          </cell>
          <cell r="H2920">
            <v>5</v>
          </cell>
        </row>
        <row r="2921">
          <cell r="B2921" t="str">
            <v>43373UAH</v>
          </cell>
          <cell r="C2921" t="str">
            <v>43373UKRAINE</v>
          </cell>
          <cell r="D2921" t="str">
            <v>UAH</v>
          </cell>
          <cell r="E2921">
            <v>9.3152109550107145</v>
          </cell>
          <cell r="F2921">
            <v>10.028</v>
          </cell>
          <cell r="G2921" t="str">
            <v>UKRAINE</v>
          </cell>
          <cell r="H2921">
            <v>6</v>
          </cell>
        </row>
        <row r="2922">
          <cell r="B2922" t="str">
            <v>43373USD</v>
          </cell>
          <cell r="C2922" t="str">
            <v>43373UNITED STATES</v>
          </cell>
          <cell r="D2922" t="str">
            <v>USD</v>
          </cell>
          <cell r="E2922">
            <v>4.4921558120841345</v>
          </cell>
          <cell r="F2922">
            <v>2.33975</v>
          </cell>
          <cell r="G2922" t="str">
            <v>UNITED STATES</v>
          </cell>
          <cell r="H2922">
            <v>4</v>
          </cell>
        </row>
        <row r="2923">
          <cell r="B2923" t="str">
            <v>43373VND</v>
          </cell>
          <cell r="C2923" t="str">
            <v>43373VIET NAM</v>
          </cell>
          <cell r="D2923" t="str">
            <v>VND</v>
          </cell>
          <cell r="E2923">
            <v>6.2099691952184157</v>
          </cell>
          <cell r="F2923">
            <v>3.8499999999999996</v>
          </cell>
          <cell r="G2923" t="str">
            <v>VIET NAM</v>
          </cell>
          <cell r="H2923">
            <v>6</v>
          </cell>
        </row>
        <row r="2924">
          <cell r="B2924" t="str">
            <v>43373XOF</v>
          </cell>
          <cell r="C2924" t="str">
            <v>43373MALI</v>
          </cell>
          <cell r="D2924" t="str">
            <v>XOF</v>
          </cell>
          <cell r="E2924">
            <v>4.4743112183310432</v>
          </cell>
          <cell r="F2924">
            <v>2.3725000000000001</v>
          </cell>
          <cell r="G2924" t="str">
            <v>MALI</v>
          </cell>
          <cell r="H2924">
            <v>6</v>
          </cell>
        </row>
        <row r="2925">
          <cell r="B2925" t="str">
            <v>43373ZAR</v>
          </cell>
          <cell r="C2925" t="str">
            <v>43373SOUTH AFRICA</v>
          </cell>
          <cell r="D2925" t="str">
            <v>ZAR</v>
          </cell>
          <cell r="E2925">
            <v>7.5348592534675554</v>
          </cell>
          <cell r="F2925">
            <v>4.9007499999999995</v>
          </cell>
          <cell r="G2925" t="str">
            <v>SOUTH AFRICA</v>
          </cell>
          <cell r="H2925">
            <v>5</v>
          </cell>
        </row>
        <row r="2926">
          <cell r="B2926" t="str">
            <v>43373ZMW</v>
          </cell>
          <cell r="C2926" t="str">
            <v>43373ZAMBIA</v>
          </cell>
          <cell r="D2926" t="str">
            <v>ZMW</v>
          </cell>
          <cell r="E2926">
            <v>10.398419746027269</v>
          </cell>
          <cell r="F2926">
            <v>8.4322499999999998</v>
          </cell>
          <cell r="G2926" t="str">
            <v>ZAMBIA</v>
          </cell>
          <cell r="H2926">
            <v>6</v>
          </cell>
        </row>
        <row r="2927">
          <cell r="B2927" t="str">
            <v>43373EUR1</v>
          </cell>
          <cell r="C2927" t="str">
            <v>43373BELGIUM</v>
          </cell>
          <cell r="D2927" t="str">
            <v>EUR1</v>
          </cell>
          <cell r="E2927">
            <v>4.0981112474149075</v>
          </cell>
          <cell r="F2927">
            <v>0</v>
          </cell>
          <cell r="G2927" t="str">
            <v>BELGIUM</v>
          </cell>
          <cell r="H2927">
            <v>4</v>
          </cell>
        </row>
        <row r="2928">
          <cell r="B2928" t="str">
            <v>43373EUR2</v>
          </cell>
          <cell r="C2928" t="str">
            <v>43373CYPRUS</v>
          </cell>
          <cell r="D2928" t="str">
            <v>EUR2</v>
          </cell>
          <cell r="E2928">
            <v>4.0981112474149075</v>
          </cell>
          <cell r="F2928">
            <v>0</v>
          </cell>
          <cell r="G2928" t="str">
            <v>CYPRUS</v>
          </cell>
          <cell r="H2928">
            <v>5</v>
          </cell>
        </row>
        <row r="2929">
          <cell r="B2929" t="str">
            <v>43373EUR3</v>
          </cell>
          <cell r="C2929" t="str">
            <v>43373ESTONIA</v>
          </cell>
          <cell r="D2929" t="str">
            <v>EUR3</v>
          </cell>
          <cell r="E2929">
            <v>4.0981112474149075</v>
          </cell>
          <cell r="F2929">
            <v>0</v>
          </cell>
          <cell r="G2929" t="str">
            <v>ESTONIA</v>
          </cell>
          <cell r="H2929">
            <v>6</v>
          </cell>
        </row>
        <row r="2930">
          <cell r="B2930" t="str">
            <v>43373EUR4</v>
          </cell>
          <cell r="C2930" t="str">
            <v>43373FINLAND</v>
          </cell>
          <cell r="D2930" t="str">
            <v>EUR4</v>
          </cell>
          <cell r="E2930">
            <v>4.0981112474149075</v>
          </cell>
          <cell r="F2930">
            <v>0</v>
          </cell>
          <cell r="G2930" t="str">
            <v>FINLAND</v>
          </cell>
          <cell r="H2930">
            <v>4</v>
          </cell>
        </row>
        <row r="2931">
          <cell r="B2931" t="str">
            <v>43373EUR5</v>
          </cell>
          <cell r="C2931" t="str">
            <v>43373FRANCE</v>
          </cell>
          <cell r="D2931" t="str">
            <v>EUR5</v>
          </cell>
          <cell r="E2931">
            <v>4.0981112474149075</v>
          </cell>
          <cell r="F2931">
            <v>0</v>
          </cell>
          <cell r="G2931" t="str">
            <v>FRANCE</v>
          </cell>
          <cell r="H2931">
            <v>4</v>
          </cell>
        </row>
        <row r="2932">
          <cell r="B2932" t="str">
            <v>43373EUR6</v>
          </cell>
          <cell r="C2932" t="str">
            <v>43373GERMANY</v>
          </cell>
          <cell r="D2932" t="str">
            <v>EUR6</v>
          </cell>
          <cell r="E2932">
            <v>4.0981112474149075</v>
          </cell>
          <cell r="F2932">
            <v>0</v>
          </cell>
          <cell r="G2932" t="str">
            <v>GERMANY</v>
          </cell>
          <cell r="H2932">
            <v>4.2353413943730231</v>
          </cell>
        </row>
        <row r="2933">
          <cell r="B2933" t="str">
            <v>43373EUR7</v>
          </cell>
          <cell r="C2933" t="str">
            <v>43373GREECE</v>
          </cell>
          <cell r="D2933" t="str">
            <v>EUR7</v>
          </cell>
          <cell r="E2933">
            <v>4.0981112474149075</v>
          </cell>
          <cell r="F2933">
            <v>0</v>
          </cell>
          <cell r="G2933" t="str">
            <v>GREECE</v>
          </cell>
          <cell r="H2933">
            <v>7</v>
          </cell>
        </row>
        <row r="2934">
          <cell r="B2934" t="str">
            <v>43373EUR8</v>
          </cell>
          <cell r="C2934" t="str">
            <v>43373IRELAND</v>
          </cell>
          <cell r="D2934" t="str">
            <v>EUR8</v>
          </cell>
          <cell r="E2934">
            <v>4.0981112474149075</v>
          </cell>
          <cell r="F2934">
            <v>0</v>
          </cell>
          <cell r="G2934" t="str">
            <v>IRELAND</v>
          </cell>
          <cell r="H2934">
            <v>4</v>
          </cell>
        </row>
        <row r="2935">
          <cell r="B2935" t="str">
            <v>43373EUR9</v>
          </cell>
          <cell r="C2935" t="str">
            <v>43373ITALY</v>
          </cell>
          <cell r="D2935" t="str">
            <v>EUR9</v>
          </cell>
          <cell r="E2935">
            <v>4.0981112474149075</v>
          </cell>
          <cell r="F2935">
            <v>0</v>
          </cell>
          <cell r="G2935" t="str">
            <v>ITALY</v>
          </cell>
          <cell r="H2935">
            <v>4.5</v>
          </cell>
        </row>
        <row r="2936">
          <cell r="B2936" t="str">
            <v>43373EUR10</v>
          </cell>
          <cell r="C2936" t="str">
            <v>43373LATVIA</v>
          </cell>
          <cell r="D2936" t="str">
            <v>EUR10</v>
          </cell>
          <cell r="E2936">
            <v>4.0981112474149075</v>
          </cell>
          <cell r="F2936">
            <v>0</v>
          </cell>
          <cell r="G2936" t="str">
            <v>LATVIA</v>
          </cell>
          <cell r="H2936">
            <v>6</v>
          </cell>
        </row>
        <row r="2937">
          <cell r="B2937" t="str">
            <v>43373EUR11</v>
          </cell>
          <cell r="C2937" t="str">
            <v>43373LUXEMBOURG</v>
          </cell>
          <cell r="D2937" t="str">
            <v>EUR11</v>
          </cell>
          <cell r="E2937">
            <v>4.0981112474149075</v>
          </cell>
          <cell r="F2937">
            <v>0</v>
          </cell>
          <cell r="G2937" t="str">
            <v>LUXEMBOURG</v>
          </cell>
          <cell r="H2937">
            <v>4</v>
          </cell>
        </row>
        <row r="2938">
          <cell r="B2938" t="str">
            <v>43373EUR12</v>
          </cell>
          <cell r="C2938" t="str">
            <v>43373MALTA</v>
          </cell>
          <cell r="D2938" t="str">
            <v>EUR12</v>
          </cell>
          <cell r="E2938">
            <v>4.0981112474149075</v>
          </cell>
          <cell r="F2938">
            <v>0</v>
          </cell>
          <cell r="G2938" t="str">
            <v>MALTA</v>
          </cell>
          <cell r="H2938">
            <v>4</v>
          </cell>
        </row>
        <row r="2939">
          <cell r="B2939" t="str">
            <v>43373EUR13</v>
          </cell>
          <cell r="C2939" t="str">
            <v>43373MONTENEGRO</v>
          </cell>
          <cell r="D2939" t="str">
            <v>EUR13</v>
          </cell>
          <cell r="E2939">
            <v>4.0981112474149075</v>
          </cell>
          <cell r="F2939">
            <v>0</v>
          </cell>
          <cell r="G2939" t="str">
            <v>MONTENEGRO</v>
          </cell>
          <cell r="H2939">
            <v>6</v>
          </cell>
        </row>
        <row r="2940">
          <cell r="B2940" t="str">
            <v>43373EUR14</v>
          </cell>
          <cell r="C2940" t="str">
            <v>43373NETHERLANDS</v>
          </cell>
          <cell r="D2940" t="str">
            <v>EUR14</v>
          </cell>
          <cell r="E2940">
            <v>4.0981112474149075</v>
          </cell>
          <cell r="F2940">
            <v>0</v>
          </cell>
          <cell r="G2940" t="str">
            <v>NETHERLANDS</v>
          </cell>
          <cell r="H2940">
            <v>4</v>
          </cell>
        </row>
        <row r="2941">
          <cell r="B2941" t="str">
            <v>43373EUR15</v>
          </cell>
          <cell r="C2941" t="str">
            <v>43373PORTUGAL</v>
          </cell>
          <cell r="D2941" t="str">
            <v>EUR15</v>
          </cell>
          <cell r="E2941">
            <v>4.0981112474149075</v>
          </cell>
          <cell r="F2941">
            <v>0</v>
          </cell>
          <cell r="G2941" t="str">
            <v>PORTUGAL</v>
          </cell>
          <cell r="H2941">
            <v>4</v>
          </cell>
        </row>
        <row r="2942">
          <cell r="B2942" t="str">
            <v>43373EUR16</v>
          </cell>
          <cell r="C2942" t="str">
            <v>43373SLOVAKIA</v>
          </cell>
          <cell r="D2942" t="str">
            <v>EUR16</v>
          </cell>
          <cell r="E2942">
            <v>4.0981112474149075</v>
          </cell>
          <cell r="F2942">
            <v>0</v>
          </cell>
          <cell r="G2942" t="str">
            <v>SLOVAKIA</v>
          </cell>
          <cell r="H2942">
            <v>5</v>
          </cell>
        </row>
        <row r="2943">
          <cell r="B2943" t="str">
            <v>43373EUR17</v>
          </cell>
          <cell r="C2943" t="str">
            <v>43373SLOVENIA</v>
          </cell>
          <cell r="D2943" t="str">
            <v>EUR17</v>
          </cell>
          <cell r="E2943">
            <v>4.0981112474149075</v>
          </cell>
          <cell r="F2943">
            <v>0</v>
          </cell>
          <cell r="G2943" t="str">
            <v>SLOVENIA</v>
          </cell>
          <cell r="H2943">
            <v>6</v>
          </cell>
        </row>
        <row r="2944">
          <cell r="B2944" t="str">
            <v>43373EUR18</v>
          </cell>
          <cell r="C2944" t="str">
            <v>43373SPAIN</v>
          </cell>
          <cell r="D2944" t="str">
            <v>EUR18</v>
          </cell>
          <cell r="E2944">
            <v>4.0981112474149075</v>
          </cell>
          <cell r="F2944">
            <v>0</v>
          </cell>
          <cell r="G2944" t="str">
            <v>SPAIN</v>
          </cell>
          <cell r="H2944">
            <v>4</v>
          </cell>
        </row>
        <row r="2945">
          <cell r="B2945" t="str">
            <v>43373EUR20</v>
          </cell>
          <cell r="C2945" t="str">
            <v>43373AUSTRIA</v>
          </cell>
          <cell r="D2945" t="str">
            <v>EUR20</v>
          </cell>
          <cell r="E2945">
            <v>4.0981112474149075</v>
          </cell>
          <cell r="F2945">
            <v>0</v>
          </cell>
          <cell r="G2945" t="str">
            <v>AUSTRIA</v>
          </cell>
          <cell r="H2945">
            <v>4</v>
          </cell>
        </row>
        <row r="2946">
          <cell r="B2946" t="str">
            <v>43373Eastern European Institutions</v>
          </cell>
          <cell r="C2946" t="str">
            <v>43373Eastern European Institutions</v>
          </cell>
          <cell r="D2946" t="str">
            <v>Eastern European Institutions</v>
          </cell>
          <cell r="E2946">
            <v>0</v>
          </cell>
          <cell r="G2946" t="str">
            <v>Eastern European Institutions</v>
          </cell>
          <cell r="H2946">
            <v>5</v>
          </cell>
        </row>
        <row r="2947">
          <cell r="B2947" t="str">
            <v>43404AED</v>
          </cell>
          <cell r="C2947" t="str">
            <v>43404U. A. E.</v>
          </cell>
          <cell r="D2947" t="str">
            <v>AED</v>
          </cell>
          <cell r="E2947">
            <v>4.5763881345327198</v>
          </cell>
          <cell r="F2947">
            <v>2.5260000000000002</v>
          </cell>
          <cell r="G2947" t="str">
            <v>U. A. E.</v>
          </cell>
          <cell r="H2947">
            <v>5</v>
          </cell>
        </row>
        <row r="2948">
          <cell r="B2948" t="str">
            <v>43404ARS</v>
          </cell>
          <cell r="C2948" t="str">
            <v>43404ARGENTINA</v>
          </cell>
          <cell r="D2948" t="str">
            <v>ARS</v>
          </cell>
          <cell r="E2948">
            <v>21.023310848088798</v>
          </cell>
          <cell r="F2948">
            <v>31.814499999999999</v>
          </cell>
          <cell r="G2948" t="str">
            <v>ARGENTINA</v>
          </cell>
          <cell r="H2948">
            <v>9</v>
          </cell>
        </row>
        <row r="2949">
          <cell r="B2949" t="str">
            <v>43404AUD</v>
          </cell>
          <cell r="C2949" t="str">
            <v>43404AUSTRALIA</v>
          </cell>
          <cell r="D2949" t="str">
            <v>AUD</v>
          </cell>
          <cell r="E2949">
            <v>4.6568915554525949</v>
          </cell>
          <cell r="F2949">
            <v>2.1841666666666661</v>
          </cell>
          <cell r="G2949" t="str">
            <v>AUSTRALIA</v>
          </cell>
          <cell r="H2949">
            <v>3.3930106927246708</v>
          </cell>
        </row>
        <row r="2950">
          <cell r="B2950" t="str">
            <v>43404BDT</v>
          </cell>
          <cell r="C2950" t="str">
            <v>43404BANGLADESH</v>
          </cell>
          <cell r="D2950" t="str">
            <v>BDT</v>
          </cell>
          <cell r="E2950">
            <v>8.1624067144062931</v>
          </cell>
          <cell r="F2950">
            <v>5.9946666666666664</v>
          </cell>
          <cell r="G2950" t="str">
            <v>BANGLADESH</v>
          </cell>
          <cell r="H2950">
            <v>6</v>
          </cell>
        </row>
        <row r="2951">
          <cell r="B2951" t="str">
            <v>43404BRL</v>
          </cell>
          <cell r="C2951" t="str">
            <v>43404BRAZIL</v>
          </cell>
          <cell r="D2951" t="str">
            <v>BRL</v>
          </cell>
          <cell r="E2951">
            <v>6.229457530900099</v>
          </cell>
          <cell r="F2951">
            <v>3.7556666666666669</v>
          </cell>
          <cell r="G2951" t="str">
            <v>BRAZIL</v>
          </cell>
          <cell r="H2951">
            <v>7</v>
          </cell>
        </row>
        <row r="2952">
          <cell r="B2952" t="str">
            <v>43404BWP</v>
          </cell>
          <cell r="C2952" t="str">
            <v>43404BOTSWANA</v>
          </cell>
          <cell r="D2952" t="str">
            <v>BWP</v>
          </cell>
          <cell r="E2952">
            <v>6.114982354009272</v>
          </cell>
          <cell r="F2952">
            <v>3.8071666666666668</v>
          </cell>
          <cell r="G2952" t="str">
            <v>BOTSWANA</v>
          </cell>
          <cell r="H2952">
            <v>6</v>
          </cell>
        </row>
        <row r="2953">
          <cell r="B2953" t="str">
            <v>43404CAD</v>
          </cell>
          <cell r="C2953" t="str">
            <v>43404CANADA</v>
          </cell>
          <cell r="D2953" t="str">
            <v>CAD</v>
          </cell>
          <cell r="E2953">
            <v>4.4668369572793001</v>
          </cell>
          <cell r="F2953">
            <v>2.5110000000000001</v>
          </cell>
          <cell r="G2953" t="str">
            <v>CANADA</v>
          </cell>
          <cell r="H2953">
            <v>4</v>
          </cell>
        </row>
        <row r="2954">
          <cell r="B2954" t="str">
            <v>43404CHF</v>
          </cell>
          <cell r="C2954" t="str">
            <v>43404SWITZERLAND</v>
          </cell>
          <cell r="D2954" t="str">
            <v>CHF</v>
          </cell>
          <cell r="E2954">
            <v>3.3385005739082132</v>
          </cell>
          <cell r="F2954">
            <v>1.1251666666666666</v>
          </cell>
          <cell r="G2954" t="str">
            <v>SWITZERLAND</v>
          </cell>
          <cell r="H2954">
            <v>4</v>
          </cell>
        </row>
        <row r="2955">
          <cell r="B2955" t="str">
            <v>43404CLP</v>
          </cell>
          <cell r="C2955" t="str">
            <v>43404CHILE</v>
          </cell>
          <cell r="D2955" t="str">
            <v>CLP</v>
          </cell>
          <cell r="E2955">
            <v>5.1477533377246845</v>
          </cell>
          <cell r="F2955">
            <v>2.5476666666666663</v>
          </cell>
          <cell r="G2955" t="str">
            <v>CHILE</v>
          </cell>
          <cell r="H2955">
            <v>5</v>
          </cell>
        </row>
        <row r="2956">
          <cell r="B2956" t="str">
            <v>43404CNY</v>
          </cell>
          <cell r="C2956" t="str">
            <v>43404CHINA</v>
          </cell>
          <cell r="D2956" t="str">
            <v>CNY</v>
          </cell>
          <cell r="E2956">
            <v>4.8340631291142557</v>
          </cell>
          <cell r="F2956">
            <v>2.2246666666666663</v>
          </cell>
          <cell r="G2956" t="str">
            <v>CHINA</v>
          </cell>
          <cell r="H2956">
            <v>5</v>
          </cell>
        </row>
        <row r="2957">
          <cell r="B2957" t="str">
            <v>43404COP</v>
          </cell>
          <cell r="C2957" t="str">
            <v>43404COLOMBIA</v>
          </cell>
          <cell r="D2957" t="str">
            <v>COP</v>
          </cell>
          <cell r="E2957">
            <v>5.3813071504420087</v>
          </cell>
          <cell r="F2957">
            <v>3.2383333333333337</v>
          </cell>
          <cell r="G2957" t="str">
            <v>COLOMBIA</v>
          </cell>
          <cell r="H2957">
            <v>6</v>
          </cell>
        </row>
        <row r="2958">
          <cell r="B2958" t="str">
            <v>43404CZK</v>
          </cell>
          <cell r="C2958" t="str">
            <v>43404CZECH REPUBLIC</v>
          </cell>
          <cell r="D2958" t="str">
            <v>CZK</v>
          </cell>
          <cell r="E2958">
            <v>4.3812732030118742</v>
          </cell>
          <cell r="F2958">
            <v>2.3321666666666667</v>
          </cell>
          <cell r="G2958" t="str">
            <v>CZECH REPUBLIC</v>
          </cell>
          <cell r="H2958">
            <v>5</v>
          </cell>
        </row>
        <row r="2959">
          <cell r="B2959" t="str">
            <v>43404DKK</v>
          </cell>
          <cell r="C2959" t="str">
            <v>43404DENMARK</v>
          </cell>
          <cell r="D2959" t="str">
            <v>DKK</v>
          </cell>
          <cell r="E2959">
            <v>4.0697167716395457</v>
          </cell>
          <cell r="F2959">
            <v>1.4500000000000002</v>
          </cell>
          <cell r="G2959" t="str">
            <v>DENMARK</v>
          </cell>
          <cell r="H2959">
            <v>4</v>
          </cell>
        </row>
        <row r="2960">
          <cell r="B2960" t="str">
            <v>43404EGP</v>
          </cell>
          <cell r="C2960" t="str">
            <v>43404EGYPT</v>
          </cell>
          <cell r="D2960" t="str">
            <v>EGP</v>
          </cell>
          <cell r="E2960">
            <v>14.30394658352632</v>
          </cell>
          <cell r="F2960">
            <v>19.715499999999999</v>
          </cell>
          <cell r="G2960" t="str">
            <v>EGYPT</v>
          </cell>
          <cell r="H2960">
            <v>5</v>
          </cell>
        </row>
        <row r="2961">
          <cell r="B2961" t="str">
            <v>43404EUR</v>
          </cell>
          <cell r="D2961" t="str">
            <v>EUR</v>
          </cell>
          <cell r="E2961">
            <v>4.0981112474149075</v>
          </cell>
          <cell r="F2961">
            <v>1.7010000000000001</v>
          </cell>
          <cell r="H2961">
            <v>0</v>
          </cell>
        </row>
        <row r="2962">
          <cell r="B2962" t="str">
            <v>43404GBP</v>
          </cell>
          <cell r="C2962" t="str">
            <v>43404UNITED KINGDOM</v>
          </cell>
          <cell r="D2962" t="str">
            <v>GBP</v>
          </cell>
          <cell r="E2962">
            <v>4.387208065685714</v>
          </cell>
          <cell r="F2962">
            <v>2.4544999999999999</v>
          </cell>
          <cell r="G2962" t="str">
            <v>UNITED KINGDOM</v>
          </cell>
          <cell r="H2962">
            <v>4</v>
          </cell>
        </row>
        <row r="2963">
          <cell r="B2963" t="str">
            <v>43404GEL</v>
          </cell>
          <cell r="C2963" t="str">
            <v>43404GEORGIA</v>
          </cell>
          <cell r="D2963" t="str">
            <v>GEL</v>
          </cell>
          <cell r="E2963">
            <v>5.1499270413246458</v>
          </cell>
          <cell r="F2963">
            <v>2.753333333333333</v>
          </cell>
          <cell r="G2963" t="str">
            <v>GEORGIA</v>
          </cell>
          <cell r="H2963">
            <v>6</v>
          </cell>
        </row>
        <row r="2964">
          <cell r="B2964" t="str">
            <v>43404HKD</v>
          </cell>
          <cell r="C2964" t="str">
            <v>43404HONG KONG</v>
          </cell>
          <cell r="D2964" t="str">
            <v>HKD</v>
          </cell>
          <cell r="E2964">
            <v>4.5499022481772657</v>
          </cell>
          <cell r="F2964">
            <v>2.5260000000000002</v>
          </cell>
          <cell r="G2964" t="str">
            <v>HONG KONG</v>
          </cell>
          <cell r="H2964">
            <v>4</v>
          </cell>
        </row>
        <row r="2965">
          <cell r="B2965" t="str">
            <v>43404GHS</v>
          </cell>
          <cell r="C2965" t="str">
            <v>43404GHANA</v>
          </cell>
          <cell r="D2965" t="str">
            <v>GHS</v>
          </cell>
          <cell r="E2965">
            <v>9.9381810217126265</v>
          </cell>
          <cell r="F2965">
            <v>9.2266666666666666</v>
          </cell>
          <cell r="G2965" t="str">
            <v>GHANA</v>
          </cell>
          <cell r="H2965">
            <v>6</v>
          </cell>
        </row>
        <row r="2966">
          <cell r="B2966" t="str">
            <v>43404HRK</v>
          </cell>
          <cell r="C2966" t="str">
            <v>43404CROATIA</v>
          </cell>
          <cell r="D2966" t="str">
            <v>HRK</v>
          </cell>
          <cell r="E2966">
            <v>3.8683343119309468</v>
          </cell>
          <cell r="F2966">
            <v>1.5833333333333333</v>
          </cell>
          <cell r="G2966" t="str">
            <v>CROATIA</v>
          </cell>
          <cell r="H2966">
            <v>6</v>
          </cell>
        </row>
        <row r="2967">
          <cell r="B2967" t="str">
            <v>43404HUF</v>
          </cell>
          <cell r="C2967" t="str">
            <v>43404HUNGARY</v>
          </cell>
          <cell r="D2967" t="str">
            <v>HUF</v>
          </cell>
          <cell r="E2967">
            <v>5.238892729429482</v>
          </cell>
          <cell r="F2967">
            <v>2.8809999999999998</v>
          </cell>
          <cell r="G2967" t="str">
            <v>HUNGARY</v>
          </cell>
          <cell r="H2967">
            <v>5</v>
          </cell>
        </row>
        <row r="2968">
          <cell r="B2968" t="str">
            <v>43404IDR</v>
          </cell>
          <cell r="C2968" t="str">
            <v>43404INDONESIA</v>
          </cell>
          <cell r="D2968" t="str">
            <v>IDR</v>
          </cell>
          <cell r="E2968">
            <v>5.7431065369510517</v>
          </cell>
          <cell r="F2968">
            <v>3.480666666666667</v>
          </cell>
          <cell r="G2968" t="str">
            <v>INDONESIA</v>
          </cell>
          <cell r="H2968">
            <v>5</v>
          </cell>
        </row>
        <row r="2969">
          <cell r="B2969" t="str">
            <v>43404ILS</v>
          </cell>
          <cell r="C2969" t="str">
            <v>43404ISRAEL</v>
          </cell>
          <cell r="D2969" t="str">
            <v>ILS</v>
          </cell>
          <cell r="E2969">
            <v>3.8436736991877476</v>
          </cell>
          <cell r="F2969">
            <v>0.95633333333333337</v>
          </cell>
          <cell r="G2969" t="str">
            <v>ISRAEL</v>
          </cell>
          <cell r="H2969">
            <v>4</v>
          </cell>
        </row>
        <row r="2970">
          <cell r="B2970" t="str">
            <v>43404INR</v>
          </cell>
          <cell r="C2970" t="str">
            <v>43404INDIA</v>
          </cell>
          <cell r="D2970" t="str">
            <v>INR</v>
          </cell>
          <cell r="E2970">
            <v>6.7575824416055177</v>
          </cell>
          <cell r="F2970">
            <v>4.7603333333333335</v>
          </cell>
          <cell r="G2970" t="str">
            <v>INDIA</v>
          </cell>
          <cell r="H2970">
            <v>5</v>
          </cell>
        </row>
        <row r="2971">
          <cell r="B2971" t="str">
            <v>43404IQD</v>
          </cell>
          <cell r="C2971" t="str">
            <v>43404IRAQ</v>
          </cell>
          <cell r="D2971" t="str">
            <v>IQD</v>
          </cell>
          <cell r="E2971">
            <v>4.2500000000000018</v>
          </cell>
          <cell r="F2971">
            <v>2</v>
          </cell>
          <cell r="G2971" t="str">
            <v>IRAQ</v>
          </cell>
          <cell r="H2971">
            <v>6</v>
          </cell>
        </row>
        <row r="2972">
          <cell r="B2972" t="str">
            <v>43404JPY</v>
          </cell>
          <cell r="C2972" t="str">
            <v>43404JAPAN</v>
          </cell>
          <cell r="D2972" t="str">
            <v>JPY</v>
          </cell>
          <cell r="E2972">
            <v>3.5355980547647361</v>
          </cell>
          <cell r="F2972">
            <v>1.2191666666666667</v>
          </cell>
          <cell r="G2972" t="str">
            <v>JAPAN</v>
          </cell>
          <cell r="H2972">
            <v>4</v>
          </cell>
        </row>
        <row r="2973">
          <cell r="B2973" t="str">
            <v>43404KES</v>
          </cell>
          <cell r="C2973" t="str">
            <v>43404KENYA</v>
          </cell>
          <cell r="D2973" t="str">
            <v>KES</v>
          </cell>
          <cell r="E2973">
            <v>7.3743505678601364</v>
          </cell>
          <cell r="F2973">
            <v>5.1311666666666671</v>
          </cell>
          <cell r="G2973" t="str">
            <v>KENYA</v>
          </cell>
          <cell r="H2973">
            <v>7.5</v>
          </cell>
        </row>
        <row r="2974">
          <cell r="B2974" t="str">
            <v>43404JOD</v>
          </cell>
          <cell r="C2974" t="str">
            <v>43404JORDAN</v>
          </cell>
          <cell r="D2974" t="str">
            <v>JOD</v>
          </cell>
          <cell r="E2974">
            <v>5.0590495695116235</v>
          </cell>
          <cell r="F2974">
            <v>2.5260000000000002</v>
          </cell>
          <cell r="G2974" t="str">
            <v>JORDAN</v>
          </cell>
          <cell r="H2974">
            <v>6</v>
          </cell>
        </row>
        <row r="2975">
          <cell r="B2975" t="str">
            <v>43404KHR</v>
          </cell>
          <cell r="C2975" t="str">
            <v>43404CAMBODIA</v>
          </cell>
          <cell r="D2975" t="str">
            <v>KHR</v>
          </cell>
          <cell r="E2975">
            <v>5.430331943699799</v>
          </cell>
          <cell r="F2975">
            <v>3.3033333333333337</v>
          </cell>
          <cell r="G2975" t="str">
            <v>CAMBODIA</v>
          </cell>
          <cell r="H2975">
            <v>6</v>
          </cell>
        </row>
        <row r="2976">
          <cell r="B2976" t="str">
            <v>43404KRW</v>
          </cell>
          <cell r="C2976" t="str">
            <v>43404KOREA SOUTH(REPUBLIC OF KOREA)</v>
          </cell>
          <cell r="D2976" t="str">
            <v>KRW</v>
          </cell>
          <cell r="E2976">
            <v>4.0999905930975169</v>
          </cell>
          <cell r="F2976">
            <v>1.5258333333333334</v>
          </cell>
          <cell r="G2976" t="str">
            <v>KOREA SOUTH(REPUBLIC OF KOREA)</v>
          </cell>
          <cell r="H2976">
            <v>5</v>
          </cell>
        </row>
        <row r="2977">
          <cell r="B2977" t="str">
            <v>43404KWD</v>
          </cell>
          <cell r="C2977" t="str">
            <v>43404KUWAIT</v>
          </cell>
          <cell r="D2977" t="str">
            <v>KWD</v>
          </cell>
          <cell r="E2977">
            <v>4.9053364266628243</v>
          </cell>
          <cell r="F2977">
            <v>1.1666666666666665</v>
          </cell>
          <cell r="G2977" t="str">
            <v>KUWAIT</v>
          </cell>
          <cell r="H2977">
            <v>6</v>
          </cell>
        </row>
        <row r="2978">
          <cell r="B2978" t="str">
            <v>43404LKR</v>
          </cell>
          <cell r="C2978" t="str">
            <v>43404SRI LANKA</v>
          </cell>
          <cell r="D2978" t="str">
            <v>LKR</v>
          </cell>
          <cell r="E2978">
            <v>7.0997856885606039</v>
          </cell>
          <cell r="F2978">
            <v>4.8325000000000005</v>
          </cell>
          <cell r="G2978" t="str">
            <v>SRI LANKA</v>
          </cell>
          <cell r="H2978">
            <v>6</v>
          </cell>
        </row>
        <row r="2979">
          <cell r="B2979" t="str">
            <v>43404KZT</v>
          </cell>
          <cell r="C2979" t="str">
            <v>43404KAZAKHSTAN</v>
          </cell>
          <cell r="D2979" t="str">
            <v>KZT</v>
          </cell>
          <cell r="E2979">
            <v>7.1643899804527713</v>
          </cell>
          <cell r="F2979">
            <v>6.2711666666666668</v>
          </cell>
          <cell r="G2979" t="str">
            <v>KAZAKHSTAN</v>
          </cell>
          <cell r="H2979">
            <v>6</v>
          </cell>
        </row>
        <row r="2980">
          <cell r="B2980" t="str">
            <v>43404MAD</v>
          </cell>
          <cell r="C2980" t="str">
            <v>43404MOROCCO</v>
          </cell>
          <cell r="D2980" t="str">
            <v>MAD</v>
          </cell>
          <cell r="E2980">
            <v>4.2094972584157544</v>
          </cell>
          <cell r="F2980">
            <v>2.2333333333333334</v>
          </cell>
          <cell r="G2980" t="str">
            <v>MOROCCO</v>
          </cell>
          <cell r="H2980">
            <v>6</v>
          </cell>
        </row>
        <row r="2981">
          <cell r="B2981" t="str">
            <v>43404MXN</v>
          </cell>
          <cell r="C2981" t="str">
            <v>43404MEXICO</v>
          </cell>
          <cell r="D2981" t="str">
            <v>MXN</v>
          </cell>
          <cell r="E2981">
            <v>5.7263348984777842</v>
          </cell>
          <cell r="F2981">
            <v>4.5746666666666664</v>
          </cell>
          <cell r="G2981" t="str">
            <v>MEXICO</v>
          </cell>
          <cell r="H2981">
            <v>7</v>
          </cell>
        </row>
        <row r="2982">
          <cell r="B2982" t="str">
            <v>43404MYR</v>
          </cell>
          <cell r="C2982" t="str">
            <v>43404MALAYSIA</v>
          </cell>
          <cell r="D2982" t="str">
            <v>MYR</v>
          </cell>
          <cell r="E2982">
            <v>4.4011107220461678</v>
          </cell>
          <cell r="F2982">
            <v>1.2109999999999999</v>
          </cell>
          <cell r="G2982" t="str">
            <v>MALAYSIA</v>
          </cell>
          <cell r="H2982">
            <v>5.5</v>
          </cell>
        </row>
        <row r="2983">
          <cell r="B2983" t="str">
            <v>43404NGN</v>
          </cell>
          <cell r="C2983" t="str">
            <v>43404NIGERIA</v>
          </cell>
          <cell r="D2983" t="str">
            <v>NGN</v>
          </cell>
          <cell r="E2983">
            <v>15.777511345173515</v>
          </cell>
          <cell r="F2983">
            <v>12.586333333333332</v>
          </cell>
          <cell r="G2983" t="str">
            <v>NIGERIA</v>
          </cell>
          <cell r="H2983">
            <v>6</v>
          </cell>
        </row>
        <row r="2984">
          <cell r="B2984" t="str">
            <v>43404NOK</v>
          </cell>
          <cell r="C2984" t="str">
            <v>43404NORWAY</v>
          </cell>
          <cell r="D2984" t="str">
            <v>NOK</v>
          </cell>
          <cell r="E2984">
            <v>4.2299921522459796</v>
          </cell>
          <cell r="F2984">
            <v>1.9166666666666665</v>
          </cell>
          <cell r="G2984" t="str">
            <v>NORWAY</v>
          </cell>
          <cell r="H2984">
            <v>4</v>
          </cell>
        </row>
        <row r="2985">
          <cell r="B2985" t="str">
            <v>43404NZD</v>
          </cell>
          <cell r="C2985" t="str">
            <v>43404NEW ZEALAND</v>
          </cell>
          <cell r="D2985" t="str">
            <v>NZD</v>
          </cell>
          <cell r="E2985">
            <v>4.0657268075408517</v>
          </cell>
          <cell r="F2985">
            <v>1.4524999999999999</v>
          </cell>
          <cell r="G2985" t="str">
            <v>NEW ZEALAND</v>
          </cell>
          <cell r="H2985">
            <v>4</v>
          </cell>
        </row>
        <row r="2986">
          <cell r="B2986" t="str">
            <v>43404OMR</v>
          </cell>
          <cell r="C2986" t="str">
            <v>43404OMAN</v>
          </cell>
          <cell r="D2986" t="str">
            <v>OMR</v>
          </cell>
          <cell r="E2986">
            <v>5.0877186405923904</v>
          </cell>
          <cell r="F2986">
            <v>2.5260000000000002</v>
          </cell>
          <cell r="G2986" t="str">
            <v>OMAN</v>
          </cell>
          <cell r="H2986">
            <v>6</v>
          </cell>
        </row>
        <row r="2987">
          <cell r="B2987" t="str">
            <v>43404PEN</v>
          </cell>
          <cell r="C2987" t="str">
            <v>43404PERU</v>
          </cell>
          <cell r="D2987" t="str">
            <v>PEN</v>
          </cell>
          <cell r="E2987">
            <v>4.1289134004498331</v>
          </cell>
          <cell r="F2987">
            <v>1.4996666666666667</v>
          </cell>
          <cell r="G2987" t="str">
            <v>PERU</v>
          </cell>
          <cell r="H2987">
            <v>5</v>
          </cell>
        </row>
        <row r="2988">
          <cell r="B2988" t="str">
            <v>43404PGK</v>
          </cell>
          <cell r="C2988" t="str">
            <v>43404PAPUA NEW GUINEA</v>
          </cell>
          <cell r="D2988" t="str">
            <v>PGK</v>
          </cell>
          <cell r="E2988">
            <v>6.1404805572603784</v>
          </cell>
          <cell r="F2988">
            <v>4.1356666666666664</v>
          </cell>
          <cell r="G2988" t="str">
            <v>PAPUA NEW GUINEA</v>
          </cell>
          <cell r="H2988">
            <v>6</v>
          </cell>
        </row>
        <row r="2989">
          <cell r="B2989" t="str">
            <v>43404PHP</v>
          </cell>
          <cell r="C2989" t="str">
            <v>43404PHILIPPINES</v>
          </cell>
          <cell r="D2989" t="str">
            <v>PHP</v>
          </cell>
          <cell r="E2989">
            <v>5.9210541921415984</v>
          </cell>
          <cell r="F2989">
            <v>4.7901666666666669</v>
          </cell>
          <cell r="G2989" t="str">
            <v>PHILIPPINES</v>
          </cell>
          <cell r="H2989">
            <v>5</v>
          </cell>
        </row>
        <row r="2990">
          <cell r="B2990" t="str">
            <v>43404PKR</v>
          </cell>
          <cell r="C2990" t="str">
            <v>43404PAKISTAN</v>
          </cell>
          <cell r="D2990" t="str">
            <v>PKR</v>
          </cell>
          <cell r="E2990">
            <v>7.8170271879906696</v>
          </cell>
          <cell r="F2990">
            <v>4.5168333333333335</v>
          </cell>
          <cell r="G2990" t="str">
            <v>PAKISTAN</v>
          </cell>
          <cell r="H2990">
            <v>6</v>
          </cell>
        </row>
        <row r="2991">
          <cell r="B2991" t="str">
            <v>43404PLN</v>
          </cell>
          <cell r="C2991" t="str">
            <v>43404POLAND</v>
          </cell>
          <cell r="D2991" t="str">
            <v>PLN</v>
          </cell>
          <cell r="E2991">
            <v>4.7136441877784465</v>
          </cell>
          <cell r="F2991">
            <v>2.1293333333333333</v>
          </cell>
          <cell r="G2991" t="str">
            <v>POLAND</v>
          </cell>
          <cell r="H2991">
            <v>4.5</v>
          </cell>
        </row>
        <row r="2992">
          <cell r="B2992" t="str">
            <v>43404QAR</v>
          </cell>
          <cell r="C2992" t="str">
            <v>43404QATAR</v>
          </cell>
          <cell r="D2992" t="str">
            <v>QAR</v>
          </cell>
          <cell r="E2992">
            <v>4.9628101214862976</v>
          </cell>
          <cell r="F2992">
            <v>2.5260000000000002</v>
          </cell>
          <cell r="G2992" t="str">
            <v>QATAR</v>
          </cell>
          <cell r="H2992">
            <v>6</v>
          </cell>
        </row>
        <row r="2993">
          <cell r="B2993" t="str">
            <v>43404RON</v>
          </cell>
          <cell r="C2993" t="str">
            <v>43404ROMANIA</v>
          </cell>
          <cell r="D2993" t="str">
            <v>RON</v>
          </cell>
          <cell r="E2993">
            <v>5.3010586188400302</v>
          </cell>
          <cell r="F2993">
            <v>4.3341666666666674</v>
          </cell>
          <cell r="G2993" t="str">
            <v>ROMANIA</v>
          </cell>
          <cell r="H2993">
            <v>6</v>
          </cell>
        </row>
        <row r="2994">
          <cell r="B2994" t="str">
            <v>43404RUB</v>
          </cell>
          <cell r="C2994" t="str">
            <v>43404RUSSIAN FEDERATION</v>
          </cell>
          <cell r="D2994" t="str">
            <v>RUB</v>
          </cell>
          <cell r="E2994">
            <v>6.7095097565928388</v>
          </cell>
          <cell r="F2994">
            <v>3.2029999999999998</v>
          </cell>
          <cell r="G2994" t="str">
            <v>RUSSIAN FEDERATION</v>
          </cell>
          <cell r="H2994">
            <v>8.5</v>
          </cell>
        </row>
        <row r="2995">
          <cell r="B2995" t="str">
            <v>43404SAR</v>
          </cell>
          <cell r="C2995" t="str">
            <v>43404SAUDI ARABIA</v>
          </cell>
          <cell r="D2995" t="str">
            <v>SAR</v>
          </cell>
          <cell r="E2995">
            <v>4.4878122874579631</v>
          </cell>
          <cell r="F2995">
            <v>2.5260000000000002</v>
          </cell>
          <cell r="G2995" t="str">
            <v>SAUDI ARABIA</v>
          </cell>
          <cell r="H2995">
            <v>5</v>
          </cell>
        </row>
        <row r="2996">
          <cell r="B2996" t="str">
            <v>43404SEK</v>
          </cell>
          <cell r="C2996" t="str">
            <v>43404SWEDEN</v>
          </cell>
          <cell r="D2996" t="str">
            <v>SEK</v>
          </cell>
          <cell r="E2996">
            <v>4.1247604879620905</v>
          </cell>
          <cell r="F2996">
            <v>1.8956666666666668</v>
          </cell>
          <cell r="G2996" t="str">
            <v>SWEDEN</v>
          </cell>
          <cell r="H2996">
            <v>4</v>
          </cell>
        </row>
        <row r="2997">
          <cell r="B2997" t="str">
            <v>43404SGD</v>
          </cell>
          <cell r="C2997" t="str">
            <v>43404SINGAPORE</v>
          </cell>
          <cell r="D2997" t="str">
            <v>SGD</v>
          </cell>
          <cell r="E2997">
            <v>3.5499026973653516</v>
          </cell>
          <cell r="F2997">
            <v>1.0911666666666666</v>
          </cell>
          <cell r="G2997" t="str">
            <v>SINGAPORE</v>
          </cell>
          <cell r="H2997">
            <v>4</v>
          </cell>
        </row>
        <row r="2998">
          <cell r="B2998" t="str">
            <v>43404TZS</v>
          </cell>
          <cell r="C2998" t="str">
            <v>43404TANZANIA, UNITED REPUBLIC OF</v>
          </cell>
          <cell r="D2998" t="str">
            <v>TZS</v>
          </cell>
          <cell r="E2998">
            <v>6.9391594893653687</v>
          </cell>
          <cell r="F2998">
            <v>3.9405000000000006</v>
          </cell>
          <cell r="G2998" t="str">
            <v>TANZANIA, UNITED REPUBLIC OF</v>
          </cell>
          <cell r="H2998">
            <v>6</v>
          </cell>
        </row>
        <row r="2999">
          <cell r="B2999" t="str">
            <v>43404THB</v>
          </cell>
          <cell r="C2999" t="str">
            <v>43404THAILAND</v>
          </cell>
          <cell r="D2999" t="str">
            <v>THB</v>
          </cell>
          <cell r="E2999">
            <v>3.4762411322035538</v>
          </cell>
          <cell r="F2999">
            <v>0.91766666666666663</v>
          </cell>
          <cell r="G2999" t="str">
            <v>THAILAND</v>
          </cell>
          <cell r="H2999">
            <v>5.0736615651617978</v>
          </cell>
        </row>
        <row r="3000">
          <cell r="B3000" t="str">
            <v>43404TRY</v>
          </cell>
          <cell r="C3000" t="str">
            <v>43404TURKEY</v>
          </cell>
          <cell r="D3000" t="str">
            <v>TRY</v>
          </cell>
          <cell r="E3000">
            <v>16.705093575227608</v>
          </cell>
          <cell r="F3000">
            <v>15.293499999999998</v>
          </cell>
          <cell r="G3000" t="str">
            <v>TURKEY</v>
          </cell>
          <cell r="H3000">
            <v>7</v>
          </cell>
        </row>
        <row r="3001">
          <cell r="B3001" t="str">
            <v>43404TWD</v>
          </cell>
          <cell r="C3001" t="str">
            <v>43404TAIWAN</v>
          </cell>
          <cell r="D3001" t="str">
            <v>TWD</v>
          </cell>
          <cell r="E3001">
            <v>3.8497638176941109</v>
          </cell>
          <cell r="F3001">
            <v>1.4666666666666668</v>
          </cell>
          <cell r="G3001" t="str">
            <v>TAIWAN</v>
          </cell>
          <cell r="H3001">
            <v>5</v>
          </cell>
        </row>
        <row r="3002">
          <cell r="B3002" t="str">
            <v>43404UAH</v>
          </cell>
          <cell r="C3002" t="str">
            <v>43404UKRAINE</v>
          </cell>
          <cell r="D3002" t="str">
            <v>UAH</v>
          </cell>
          <cell r="E3002">
            <v>9.3152109550107145</v>
          </cell>
          <cell r="F3002">
            <v>10.328000000000001</v>
          </cell>
          <cell r="G3002" t="str">
            <v>UKRAINE</v>
          </cell>
          <cell r="H3002">
            <v>6</v>
          </cell>
        </row>
        <row r="3003">
          <cell r="B3003" t="str">
            <v>43404USD</v>
          </cell>
          <cell r="C3003" t="str">
            <v>43404UNITED STATES</v>
          </cell>
          <cell r="D3003" t="str">
            <v>USD</v>
          </cell>
          <cell r="E3003">
            <v>4.4921558120841345</v>
          </cell>
          <cell r="F3003">
            <v>2.3611666666666666</v>
          </cell>
          <cell r="G3003" t="str">
            <v>UNITED STATES</v>
          </cell>
          <cell r="H3003">
            <v>4</v>
          </cell>
        </row>
        <row r="3004">
          <cell r="B3004" t="str">
            <v>43404VND</v>
          </cell>
          <cell r="C3004" t="str">
            <v>43404VIET NAM</v>
          </cell>
          <cell r="D3004" t="str">
            <v>VND</v>
          </cell>
          <cell r="E3004">
            <v>6.2099691952184157</v>
          </cell>
          <cell r="F3004">
            <v>3.833333333333333</v>
          </cell>
          <cell r="G3004" t="str">
            <v>VIET NAM</v>
          </cell>
          <cell r="H3004">
            <v>6</v>
          </cell>
        </row>
        <row r="3005">
          <cell r="B3005" t="str">
            <v>43404XOF</v>
          </cell>
          <cell r="C3005" t="str">
            <v>43404MALI</v>
          </cell>
          <cell r="D3005" t="str">
            <v>XOF</v>
          </cell>
          <cell r="E3005">
            <v>4.4743112183310432</v>
          </cell>
          <cell r="F3005">
            <v>2.4053333333333331</v>
          </cell>
          <cell r="G3005" t="str">
            <v>MALI</v>
          </cell>
          <cell r="H3005">
            <v>6</v>
          </cell>
        </row>
        <row r="3006">
          <cell r="B3006" t="str">
            <v>43404ZAR</v>
          </cell>
          <cell r="C3006" t="str">
            <v>43404SOUTH AFRICA</v>
          </cell>
          <cell r="D3006" t="str">
            <v>ZAR</v>
          </cell>
          <cell r="E3006">
            <v>7.5348592534675554</v>
          </cell>
          <cell r="F3006">
            <v>4.8601666666666663</v>
          </cell>
          <cell r="G3006" t="str">
            <v>SOUTH AFRICA</v>
          </cell>
          <cell r="H3006">
            <v>5</v>
          </cell>
        </row>
        <row r="3007">
          <cell r="B3007" t="str">
            <v>43404ZMW</v>
          </cell>
          <cell r="C3007" t="str">
            <v>43404ZAMBIA</v>
          </cell>
          <cell r="D3007" t="str">
            <v>ZMW</v>
          </cell>
          <cell r="E3007">
            <v>10.398419746027269</v>
          </cell>
          <cell r="F3007">
            <v>8.4525000000000006</v>
          </cell>
          <cell r="G3007" t="str">
            <v>ZAMBIA</v>
          </cell>
          <cell r="H3007">
            <v>6</v>
          </cell>
        </row>
        <row r="3008">
          <cell r="B3008" t="str">
            <v>43404EUR1</v>
          </cell>
          <cell r="C3008" t="str">
            <v>43404BELGIUM</v>
          </cell>
          <cell r="D3008" t="str">
            <v>EUR1</v>
          </cell>
          <cell r="E3008">
            <v>4.0981112474149075</v>
          </cell>
          <cell r="F3008">
            <v>0</v>
          </cell>
          <cell r="G3008" t="str">
            <v>BELGIUM</v>
          </cell>
          <cell r="H3008">
            <v>4</v>
          </cell>
        </row>
        <row r="3009">
          <cell r="B3009" t="str">
            <v>43404EUR2</v>
          </cell>
          <cell r="C3009" t="str">
            <v>43404CYPRUS</v>
          </cell>
          <cell r="D3009" t="str">
            <v>EUR2</v>
          </cell>
          <cell r="E3009">
            <v>4.0981112474149075</v>
          </cell>
          <cell r="F3009">
            <v>0</v>
          </cell>
          <cell r="G3009" t="str">
            <v>CYPRUS</v>
          </cell>
          <cell r="H3009">
            <v>5</v>
          </cell>
        </row>
        <row r="3010">
          <cell r="B3010" t="str">
            <v>43404EUR3</v>
          </cell>
          <cell r="C3010" t="str">
            <v>43404ESTONIA</v>
          </cell>
          <cell r="D3010" t="str">
            <v>EUR3</v>
          </cell>
          <cell r="E3010">
            <v>4.0981112474149075</v>
          </cell>
          <cell r="F3010">
            <v>0</v>
          </cell>
          <cell r="G3010" t="str">
            <v>ESTONIA</v>
          </cell>
          <cell r="H3010">
            <v>6</v>
          </cell>
        </row>
        <row r="3011">
          <cell r="B3011" t="str">
            <v>43404EUR4</v>
          </cell>
          <cell r="C3011" t="str">
            <v>43404FINLAND</v>
          </cell>
          <cell r="D3011" t="str">
            <v>EUR4</v>
          </cell>
          <cell r="E3011">
            <v>4.0981112474149075</v>
          </cell>
          <cell r="F3011">
            <v>0</v>
          </cell>
          <cell r="G3011" t="str">
            <v>FINLAND</v>
          </cell>
          <cell r="H3011">
            <v>4</v>
          </cell>
        </row>
        <row r="3012">
          <cell r="B3012" t="str">
            <v>43404EUR5</v>
          </cell>
          <cell r="C3012" t="str">
            <v>43404FRANCE</v>
          </cell>
          <cell r="D3012" t="str">
            <v>EUR5</v>
          </cell>
          <cell r="E3012">
            <v>4.0981112474149075</v>
          </cell>
          <cell r="F3012">
            <v>0</v>
          </cell>
          <cell r="G3012" t="str">
            <v>FRANCE</v>
          </cell>
          <cell r="H3012">
            <v>4</v>
          </cell>
        </row>
        <row r="3013">
          <cell r="B3013" t="str">
            <v>43404EUR6</v>
          </cell>
          <cell r="C3013" t="str">
            <v>43404GERMANY</v>
          </cell>
          <cell r="D3013" t="str">
            <v>EUR6</v>
          </cell>
          <cell r="E3013">
            <v>4.0981112474149075</v>
          </cell>
          <cell r="F3013">
            <v>0</v>
          </cell>
          <cell r="G3013" t="str">
            <v>GERMANY</v>
          </cell>
          <cell r="H3013">
            <v>4.2353413943730231</v>
          </cell>
        </row>
        <row r="3014">
          <cell r="B3014" t="str">
            <v>43404EUR7</v>
          </cell>
          <cell r="C3014" t="str">
            <v>43404GREECE</v>
          </cell>
          <cell r="D3014" t="str">
            <v>EUR7</v>
          </cell>
          <cell r="E3014">
            <v>4.0981112474149075</v>
          </cell>
          <cell r="F3014">
            <v>0</v>
          </cell>
          <cell r="G3014" t="str">
            <v>GREECE</v>
          </cell>
          <cell r="H3014">
            <v>7</v>
          </cell>
        </row>
        <row r="3015">
          <cell r="B3015" t="str">
            <v>43404EUR8</v>
          </cell>
          <cell r="C3015" t="str">
            <v>43404IRELAND</v>
          </cell>
          <cell r="D3015" t="str">
            <v>EUR8</v>
          </cell>
          <cell r="E3015">
            <v>4.0981112474149075</v>
          </cell>
          <cell r="F3015">
            <v>0</v>
          </cell>
          <cell r="G3015" t="str">
            <v>IRELAND</v>
          </cell>
          <cell r="H3015">
            <v>4</v>
          </cell>
        </row>
        <row r="3016">
          <cell r="B3016" t="str">
            <v>43404EUR9</v>
          </cell>
          <cell r="C3016" t="str">
            <v>43404ITALY</v>
          </cell>
          <cell r="D3016" t="str">
            <v>EUR9</v>
          </cell>
          <cell r="E3016">
            <v>4.0981112474149075</v>
          </cell>
          <cell r="F3016">
            <v>0</v>
          </cell>
          <cell r="G3016" t="str">
            <v>ITALY</v>
          </cell>
          <cell r="H3016">
            <v>4.5</v>
          </cell>
        </row>
        <row r="3017">
          <cell r="B3017" t="str">
            <v>43404EUR10</v>
          </cell>
          <cell r="C3017" t="str">
            <v>43404LATVIA</v>
          </cell>
          <cell r="D3017" t="str">
            <v>EUR10</v>
          </cell>
          <cell r="E3017">
            <v>4.0981112474149075</v>
          </cell>
          <cell r="F3017">
            <v>0</v>
          </cell>
          <cell r="G3017" t="str">
            <v>LATVIA</v>
          </cell>
          <cell r="H3017">
            <v>6</v>
          </cell>
        </row>
        <row r="3018">
          <cell r="B3018" t="str">
            <v>43404EUR11</v>
          </cell>
          <cell r="C3018" t="str">
            <v>43404LUXEMBOURG</v>
          </cell>
          <cell r="D3018" t="str">
            <v>EUR11</v>
          </cell>
          <cell r="E3018">
            <v>4.0981112474149075</v>
          </cell>
          <cell r="F3018">
            <v>0</v>
          </cell>
          <cell r="G3018" t="str">
            <v>LUXEMBOURG</v>
          </cell>
          <cell r="H3018">
            <v>4</v>
          </cell>
        </row>
        <row r="3019">
          <cell r="B3019" t="str">
            <v>43404EUR12</v>
          </cell>
          <cell r="C3019" t="str">
            <v>43404MALTA</v>
          </cell>
          <cell r="D3019" t="str">
            <v>EUR12</v>
          </cell>
          <cell r="E3019">
            <v>4.0981112474149075</v>
          </cell>
          <cell r="F3019">
            <v>0</v>
          </cell>
          <cell r="G3019" t="str">
            <v>MALTA</v>
          </cell>
          <cell r="H3019">
            <v>4</v>
          </cell>
        </row>
        <row r="3020">
          <cell r="B3020" t="str">
            <v>43404EUR13</v>
          </cell>
          <cell r="C3020" t="str">
            <v>43404MONTENEGRO</v>
          </cell>
          <cell r="D3020" t="str">
            <v>EUR13</v>
          </cell>
          <cell r="E3020">
            <v>4.0981112474149075</v>
          </cell>
          <cell r="F3020">
            <v>0</v>
          </cell>
          <cell r="G3020" t="str">
            <v>MONTENEGRO</v>
          </cell>
          <cell r="H3020">
            <v>6</v>
          </cell>
        </row>
        <row r="3021">
          <cell r="B3021" t="str">
            <v>43404EUR14</v>
          </cell>
          <cell r="C3021" t="str">
            <v>43404NETHERLANDS</v>
          </cell>
          <cell r="D3021" t="str">
            <v>EUR14</v>
          </cell>
          <cell r="E3021">
            <v>4.0981112474149075</v>
          </cell>
          <cell r="F3021">
            <v>0</v>
          </cell>
          <cell r="G3021" t="str">
            <v>NETHERLANDS</v>
          </cell>
          <cell r="H3021">
            <v>4</v>
          </cell>
        </row>
        <row r="3022">
          <cell r="B3022" t="str">
            <v>43404EUR15</v>
          </cell>
          <cell r="C3022" t="str">
            <v>43404PORTUGAL</v>
          </cell>
          <cell r="D3022" t="str">
            <v>EUR15</v>
          </cell>
          <cell r="E3022">
            <v>4.0981112474149075</v>
          </cell>
          <cell r="F3022">
            <v>0</v>
          </cell>
          <cell r="G3022" t="str">
            <v>PORTUGAL</v>
          </cell>
          <cell r="H3022">
            <v>4</v>
          </cell>
        </row>
        <row r="3023">
          <cell r="B3023" t="str">
            <v>43404EUR16</v>
          </cell>
          <cell r="C3023" t="str">
            <v>43404SLOVAKIA</v>
          </cell>
          <cell r="D3023" t="str">
            <v>EUR16</v>
          </cell>
          <cell r="E3023">
            <v>4.0981112474149075</v>
          </cell>
          <cell r="F3023">
            <v>0</v>
          </cell>
          <cell r="G3023" t="str">
            <v>SLOVAKIA</v>
          </cell>
          <cell r="H3023">
            <v>5</v>
          </cell>
        </row>
        <row r="3024">
          <cell r="B3024" t="str">
            <v>43404EUR17</v>
          </cell>
          <cell r="C3024" t="str">
            <v>43404SLOVENIA</v>
          </cell>
          <cell r="D3024" t="str">
            <v>EUR17</v>
          </cell>
          <cell r="E3024">
            <v>4.0981112474149075</v>
          </cell>
          <cell r="F3024">
            <v>0</v>
          </cell>
          <cell r="G3024" t="str">
            <v>SLOVENIA</v>
          </cell>
          <cell r="H3024">
            <v>6</v>
          </cell>
        </row>
        <row r="3025">
          <cell r="B3025" t="str">
            <v>43404EUR18</v>
          </cell>
          <cell r="C3025" t="str">
            <v>43404SPAIN</v>
          </cell>
          <cell r="D3025" t="str">
            <v>EUR18</v>
          </cell>
          <cell r="E3025">
            <v>4.0981112474149075</v>
          </cell>
          <cell r="F3025">
            <v>0</v>
          </cell>
          <cell r="G3025" t="str">
            <v>SPAIN</v>
          </cell>
          <cell r="H3025">
            <v>4</v>
          </cell>
        </row>
        <row r="3026">
          <cell r="B3026" t="str">
            <v>43404EUR20</v>
          </cell>
          <cell r="C3026" t="str">
            <v>43404AUSTRIA</v>
          </cell>
          <cell r="D3026" t="str">
            <v>EUR20</v>
          </cell>
          <cell r="E3026">
            <v>4.0981112474149075</v>
          </cell>
          <cell r="F3026">
            <v>0</v>
          </cell>
          <cell r="G3026" t="str">
            <v>AUSTRIA</v>
          </cell>
          <cell r="H3026">
            <v>4</v>
          </cell>
        </row>
        <row r="3027">
          <cell r="B3027" t="str">
            <v>43404Eastern European Institutions</v>
          </cell>
          <cell r="C3027" t="str">
            <v>43404Eastern European Institutions</v>
          </cell>
          <cell r="D3027" t="str">
            <v>Eastern European Institutions</v>
          </cell>
          <cell r="E3027">
            <v>0</v>
          </cell>
          <cell r="G3027" t="str">
            <v>Eastern European Institutions</v>
          </cell>
          <cell r="H3027">
            <v>5</v>
          </cell>
        </row>
        <row r="3028">
          <cell r="B3028" t="str">
            <v>43434AED</v>
          </cell>
          <cell r="C3028" t="str">
            <v>43434U. A. E.</v>
          </cell>
          <cell r="D3028" t="str">
            <v>AED</v>
          </cell>
          <cell r="E3028">
            <v>4.5763881345327198</v>
          </cell>
          <cell r="F3028">
            <v>2.5350000000000001</v>
          </cell>
          <cell r="G3028" t="str">
            <v>U. A. E.</v>
          </cell>
          <cell r="H3028">
            <v>5</v>
          </cell>
        </row>
        <row r="3029">
          <cell r="B3029" t="str">
            <v>43434ARS</v>
          </cell>
          <cell r="C3029" t="str">
            <v>43434ARGENTINA</v>
          </cell>
          <cell r="D3029" t="str">
            <v>ARS</v>
          </cell>
          <cell r="E3029">
            <v>21.023310848088798</v>
          </cell>
          <cell r="F3029">
            <v>31.827249999999999</v>
          </cell>
          <cell r="G3029" t="str">
            <v>ARGENTINA</v>
          </cell>
          <cell r="H3029">
            <v>9</v>
          </cell>
        </row>
        <row r="3030">
          <cell r="B3030" t="str">
            <v>43434AUD</v>
          </cell>
          <cell r="C3030" t="str">
            <v>43434AUSTRALIA</v>
          </cell>
          <cell r="D3030" t="str">
            <v>AUD</v>
          </cell>
          <cell r="E3030">
            <v>4.6568915554525949</v>
          </cell>
          <cell r="F3030">
            <v>2.1715833333333334</v>
          </cell>
          <cell r="G3030" t="str">
            <v>AUSTRALIA</v>
          </cell>
          <cell r="H3030">
            <v>3.3930106927246708</v>
          </cell>
        </row>
        <row r="3031">
          <cell r="B3031" t="str">
            <v>43434BDT</v>
          </cell>
          <cell r="C3031" t="str">
            <v>43434BANGLADESH</v>
          </cell>
          <cell r="D3031" t="str">
            <v>BDT</v>
          </cell>
          <cell r="E3031">
            <v>8.1624067144062931</v>
          </cell>
          <cell r="F3031">
            <v>5.9793333333333329</v>
          </cell>
          <cell r="G3031" t="str">
            <v>BANGLADESH</v>
          </cell>
          <cell r="H3031">
            <v>6</v>
          </cell>
        </row>
        <row r="3032">
          <cell r="B3032" t="str">
            <v>43434BRL</v>
          </cell>
          <cell r="C3032" t="str">
            <v>43434BRAZIL</v>
          </cell>
          <cell r="D3032" t="str">
            <v>BRL</v>
          </cell>
          <cell r="E3032">
            <v>6.229457530900099</v>
          </cell>
          <cell r="F3032">
            <v>3.7128333333333332</v>
          </cell>
          <cell r="G3032" t="str">
            <v>BRAZIL</v>
          </cell>
          <cell r="H3032">
            <v>7</v>
          </cell>
        </row>
        <row r="3033">
          <cell r="B3033" t="str">
            <v>43434BWP</v>
          </cell>
          <cell r="C3033" t="str">
            <v>43434BOTSWANA</v>
          </cell>
          <cell r="D3033" t="str">
            <v>BWP</v>
          </cell>
          <cell r="E3033">
            <v>6.114982354009272</v>
          </cell>
          <cell r="F3033">
            <v>3.7995833333333326</v>
          </cell>
          <cell r="G3033" t="str">
            <v>BOTSWANA</v>
          </cell>
          <cell r="H3033">
            <v>6</v>
          </cell>
        </row>
        <row r="3034">
          <cell r="B3034" t="str">
            <v>43434CAD</v>
          </cell>
          <cell r="C3034" t="str">
            <v>43434CANADA</v>
          </cell>
          <cell r="D3034" t="str">
            <v>CAD</v>
          </cell>
          <cell r="E3034">
            <v>4.4668369572793001</v>
          </cell>
          <cell r="F3034">
            <v>2.5395000000000003</v>
          </cell>
          <cell r="G3034" t="str">
            <v>CANADA</v>
          </cell>
          <cell r="H3034">
            <v>4</v>
          </cell>
        </row>
        <row r="3035">
          <cell r="B3035" t="str">
            <v>43434CHF</v>
          </cell>
          <cell r="C3035" t="str">
            <v>43434SWITZERLAND</v>
          </cell>
          <cell r="D3035" t="str">
            <v>CHF</v>
          </cell>
          <cell r="E3035">
            <v>3.3385005739082132</v>
          </cell>
          <cell r="F3035">
            <v>1.1010833333333334</v>
          </cell>
          <cell r="G3035" t="str">
            <v>SWITZERLAND</v>
          </cell>
          <cell r="H3035">
            <v>4</v>
          </cell>
        </row>
        <row r="3036">
          <cell r="B3036" t="str">
            <v>43434CLP</v>
          </cell>
          <cell r="C3036" t="str">
            <v>43434CHILE</v>
          </cell>
          <cell r="D3036" t="str">
            <v>CLP</v>
          </cell>
          <cell r="E3036">
            <v>5.1477533377246845</v>
          </cell>
          <cell r="F3036">
            <v>2.4983333333333335</v>
          </cell>
          <cell r="G3036" t="str">
            <v>CHILE</v>
          </cell>
          <cell r="H3036">
            <v>5</v>
          </cell>
        </row>
        <row r="3037">
          <cell r="B3037" t="str">
            <v>43434CNY</v>
          </cell>
          <cell r="C3037" t="str">
            <v>43434CHINA</v>
          </cell>
          <cell r="D3037" t="str">
            <v>CNY</v>
          </cell>
          <cell r="E3037">
            <v>4.8340631291142557</v>
          </cell>
          <cell r="F3037">
            <v>2.2093333333333334</v>
          </cell>
          <cell r="G3037" t="str">
            <v>CHINA</v>
          </cell>
          <cell r="H3037">
            <v>5</v>
          </cell>
        </row>
        <row r="3038">
          <cell r="B3038" t="str">
            <v>43434COP</v>
          </cell>
          <cell r="C3038" t="str">
            <v>43434COLOMBIA</v>
          </cell>
          <cell r="D3038" t="str">
            <v>COP</v>
          </cell>
          <cell r="E3038">
            <v>5.3813071504420087</v>
          </cell>
          <cell r="F3038">
            <v>3.2256666666666667</v>
          </cell>
          <cell r="G3038" t="str">
            <v>COLOMBIA</v>
          </cell>
          <cell r="H3038">
            <v>6</v>
          </cell>
        </row>
        <row r="3039">
          <cell r="B3039" t="str">
            <v>43434CZK</v>
          </cell>
          <cell r="C3039" t="str">
            <v>43434CZECH REPUBLIC</v>
          </cell>
          <cell r="D3039" t="str">
            <v>CZK</v>
          </cell>
          <cell r="E3039">
            <v>4.3812732030118742</v>
          </cell>
          <cell r="F3039">
            <v>2.3330833333333332</v>
          </cell>
          <cell r="G3039" t="str">
            <v>CZECH REPUBLIC</v>
          </cell>
          <cell r="H3039">
            <v>5</v>
          </cell>
        </row>
        <row r="3040">
          <cell r="B3040" t="str">
            <v>43434DKK</v>
          </cell>
          <cell r="C3040" t="str">
            <v>43434DENMARK</v>
          </cell>
          <cell r="D3040" t="str">
            <v>DKK</v>
          </cell>
          <cell r="E3040">
            <v>4.0697167716395457</v>
          </cell>
          <cell r="F3040">
            <v>1.4249999999999998</v>
          </cell>
          <cell r="G3040" t="str">
            <v>DENMARK</v>
          </cell>
          <cell r="H3040">
            <v>4</v>
          </cell>
        </row>
        <row r="3041">
          <cell r="B3041" t="str">
            <v>43434EGP</v>
          </cell>
          <cell r="C3041" t="str">
            <v>43434EGYPT</v>
          </cell>
          <cell r="D3041" t="str">
            <v>EGP</v>
          </cell>
          <cell r="E3041">
            <v>14.30394658352632</v>
          </cell>
          <cell r="F3041">
            <v>20.287749999999999</v>
          </cell>
          <cell r="G3041" t="str">
            <v>EGYPT</v>
          </cell>
          <cell r="H3041">
            <v>5</v>
          </cell>
        </row>
        <row r="3042">
          <cell r="B3042" t="str">
            <v>43434EUR</v>
          </cell>
          <cell r="D3042" t="str">
            <v>EUR</v>
          </cell>
          <cell r="E3042">
            <v>4.0981112474149075</v>
          </cell>
          <cell r="F3042">
            <v>1.6995</v>
          </cell>
          <cell r="H3042">
            <v>0</v>
          </cell>
        </row>
        <row r="3043">
          <cell r="B3043" t="str">
            <v>43434GBP</v>
          </cell>
          <cell r="C3043" t="str">
            <v>43434UNITED KINGDOM</v>
          </cell>
          <cell r="D3043" t="str">
            <v>GBP</v>
          </cell>
          <cell r="E3043">
            <v>4.387208065685714</v>
          </cell>
          <cell r="F3043">
            <v>2.4827500000000002</v>
          </cell>
          <cell r="G3043" t="str">
            <v>UNITED KINGDOM</v>
          </cell>
          <cell r="H3043">
            <v>4</v>
          </cell>
        </row>
        <row r="3044">
          <cell r="B3044" t="str">
            <v>43434GEL</v>
          </cell>
          <cell r="C3044" t="str">
            <v>43434GEORGIA</v>
          </cell>
          <cell r="D3044" t="str">
            <v>GEL</v>
          </cell>
          <cell r="E3044">
            <v>5.1499270413246458</v>
          </cell>
          <cell r="F3044">
            <v>2.7541666666666664</v>
          </cell>
          <cell r="G3044" t="str">
            <v>GEORGIA</v>
          </cell>
          <cell r="H3044">
            <v>6</v>
          </cell>
        </row>
        <row r="3045">
          <cell r="B3045" t="str">
            <v>43434HKD</v>
          </cell>
          <cell r="C3045" t="str">
            <v>43434HONG KONG</v>
          </cell>
          <cell r="D3045" t="str">
            <v>HKD</v>
          </cell>
          <cell r="E3045">
            <v>4.5499022481772657</v>
          </cell>
          <cell r="F3045">
            <v>2.5350000000000001</v>
          </cell>
          <cell r="G3045" t="str">
            <v>HONG KONG</v>
          </cell>
          <cell r="H3045">
            <v>4</v>
          </cell>
        </row>
        <row r="3046">
          <cell r="B3046" t="str">
            <v>43434GHS</v>
          </cell>
          <cell r="C3046" t="str">
            <v>43434GHANA</v>
          </cell>
          <cell r="D3046" t="str">
            <v>GHS</v>
          </cell>
          <cell r="E3046">
            <v>9.9381810217126265</v>
          </cell>
          <cell r="F3046">
            <v>9.3493333333333322</v>
          </cell>
          <cell r="G3046" t="str">
            <v>GHANA</v>
          </cell>
          <cell r="H3046">
            <v>6</v>
          </cell>
        </row>
        <row r="3047">
          <cell r="B3047" t="str">
            <v>43434HRK</v>
          </cell>
          <cell r="C3047" t="str">
            <v>43434CROATIA</v>
          </cell>
          <cell r="D3047" t="str">
            <v>HRK</v>
          </cell>
          <cell r="E3047">
            <v>3.8683343119309468</v>
          </cell>
          <cell r="F3047">
            <v>1.5916666666666668</v>
          </cell>
          <cell r="G3047" t="str">
            <v>CROATIA</v>
          </cell>
          <cell r="H3047">
            <v>6</v>
          </cell>
        </row>
        <row r="3048">
          <cell r="B3048" t="str">
            <v>43434HUF</v>
          </cell>
          <cell r="C3048" t="str">
            <v>43434HUNGARY</v>
          </cell>
          <cell r="D3048" t="str">
            <v>HUF</v>
          </cell>
          <cell r="E3048">
            <v>5.238892729429482</v>
          </cell>
          <cell r="F3048">
            <v>2.843</v>
          </cell>
          <cell r="G3048" t="str">
            <v>HUNGARY</v>
          </cell>
          <cell r="H3048">
            <v>5</v>
          </cell>
        </row>
        <row r="3049">
          <cell r="B3049" t="str">
            <v>43434IDR</v>
          </cell>
          <cell r="C3049" t="str">
            <v>43434INDONESIA</v>
          </cell>
          <cell r="D3049" t="str">
            <v>IDR</v>
          </cell>
          <cell r="E3049">
            <v>5.7431065369510517</v>
          </cell>
          <cell r="F3049">
            <v>3.4438333333333335</v>
          </cell>
          <cell r="G3049" t="str">
            <v>INDONESIA</v>
          </cell>
          <cell r="H3049">
            <v>5</v>
          </cell>
        </row>
        <row r="3050">
          <cell r="B3050" t="str">
            <v>43434ILS</v>
          </cell>
          <cell r="C3050" t="str">
            <v>43434ISRAEL</v>
          </cell>
          <cell r="D3050" t="str">
            <v>ILS</v>
          </cell>
          <cell r="E3050">
            <v>3.8436736991877476</v>
          </cell>
          <cell r="F3050">
            <v>0.92016666666666669</v>
          </cell>
          <cell r="G3050" t="str">
            <v>ISRAEL</v>
          </cell>
          <cell r="H3050">
            <v>4</v>
          </cell>
        </row>
        <row r="3051">
          <cell r="B3051" t="str">
            <v>43434INR</v>
          </cell>
          <cell r="C3051" t="str">
            <v>43434INDIA</v>
          </cell>
          <cell r="D3051" t="str">
            <v>INR</v>
          </cell>
          <cell r="E3051">
            <v>6.7575824416055177</v>
          </cell>
          <cell r="F3051">
            <v>4.7476666666666674</v>
          </cell>
          <cell r="G3051" t="str">
            <v>INDIA</v>
          </cell>
          <cell r="H3051">
            <v>5</v>
          </cell>
        </row>
        <row r="3052">
          <cell r="B3052" t="str">
            <v>43434IQD</v>
          </cell>
          <cell r="C3052" t="str">
            <v>43434IRAQ</v>
          </cell>
          <cell r="D3052" t="str">
            <v>IQD</v>
          </cell>
          <cell r="E3052">
            <v>4.2500000000000018</v>
          </cell>
          <cell r="F3052">
            <v>2</v>
          </cell>
          <cell r="G3052" t="str">
            <v>IRAQ</v>
          </cell>
          <cell r="H3052">
            <v>6</v>
          </cell>
        </row>
        <row r="3053">
          <cell r="B3053" t="str">
            <v>43434JPY</v>
          </cell>
          <cell r="C3053" t="str">
            <v>43434JAPAN</v>
          </cell>
          <cell r="D3053" t="str">
            <v>JPY</v>
          </cell>
          <cell r="E3053">
            <v>3.5355980547647361</v>
          </cell>
          <cell r="F3053">
            <v>1.2095833333333332</v>
          </cell>
          <cell r="G3053" t="str">
            <v>JAPAN</v>
          </cell>
          <cell r="H3053">
            <v>4</v>
          </cell>
        </row>
        <row r="3054">
          <cell r="B3054" t="str">
            <v>43434KES</v>
          </cell>
          <cell r="C3054" t="str">
            <v>43434KENYA</v>
          </cell>
          <cell r="D3054" t="str">
            <v>KES</v>
          </cell>
          <cell r="E3054">
            <v>7.3743505678601364</v>
          </cell>
          <cell r="F3054">
            <v>5.0860833333333337</v>
          </cell>
          <cell r="G3054" t="str">
            <v>KENYA</v>
          </cell>
          <cell r="H3054">
            <v>7.5</v>
          </cell>
        </row>
        <row r="3055">
          <cell r="B3055" t="str">
            <v>43434JOD</v>
          </cell>
          <cell r="C3055" t="str">
            <v>43434JORDAN</v>
          </cell>
          <cell r="D3055" t="str">
            <v>JOD</v>
          </cell>
          <cell r="E3055">
            <v>5.0590495695116235</v>
          </cell>
          <cell r="F3055">
            <v>2.5350000000000001</v>
          </cell>
          <cell r="G3055" t="str">
            <v>JORDAN</v>
          </cell>
          <cell r="H3055">
            <v>6</v>
          </cell>
        </row>
        <row r="3056">
          <cell r="B3056" t="str">
            <v>43434KHR</v>
          </cell>
          <cell r="C3056" t="str">
            <v>43434CAMBODIA</v>
          </cell>
          <cell r="D3056" t="str">
            <v>KHR</v>
          </cell>
          <cell r="E3056">
            <v>5.430331943699799</v>
          </cell>
          <cell r="F3056">
            <v>3.3061666666666669</v>
          </cell>
          <cell r="G3056" t="str">
            <v>CAMBODIA</v>
          </cell>
          <cell r="H3056">
            <v>6</v>
          </cell>
        </row>
        <row r="3057">
          <cell r="B3057" t="str">
            <v>43434KRW</v>
          </cell>
          <cell r="C3057" t="str">
            <v>43434KOREA SOUTH(REPUBLIC OF KOREA)</v>
          </cell>
          <cell r="D3057" t="str">
            <v>KRW</v>
          </cell>
          <cell r="E3057">
            <v>4.0999905930975169</v>
          </cell>
          <cell r="F3057">
            <v>1.5009166666666667</v>
          </cell>
          <cell r="G3057" t="str">
            <v>KOREA SOUTH(REPUBLIC OF KOREA)</v>
          </cell>
          <cell r="H3057">
            <v>5</v>
          </cell>
        </row>
        <row r="3058">
          <cell r="B3058" t="str">
            <v>43434KWD</v>
          </cell>
          <cell r="C3058" t="str">
            <v>43434KUWAIT</v>
          </cell>
          <cell r="D3058" t="str">
            <v>KWD</v>
          </cell>
          <cell r="E3058">
            <v>4.9053364266628243</v>
          </cell>
          <cell r="F3058">
            <v>0.98333333333333339</v>
          </cell>
          <cell r="G3058" t="str">
            <v>KUWAIT</v>
          </cell>
          <cell r="H3058">
            <v>6</v>
          </cell>
        </row>
        <row r="3059">
          <cell r="B3059" t="str">
            <v>43434LKR</v>
          </cell>
          <cell r="C3059" t="str">
            <v>43434SRI LANKA</v>
          </cell>
          <cell r="D3059" t="str">
            <v>LKR</v>
          </cell>
          <cell r="E3059">
            <v>7.0997856885606039</v>
          </cell>
          <cell r="F3059">
            <v>4.8407499999999999</v>
          </cell>
          <cell r="G3059" t="str">
            <v>SRI LANKA</v>
          </cell>
          <cell r="H3059">
            <v>6</v>
          </cell>
        </row>
        <row r="3060">
          <cell r="B3060" t="str">
            <v>43434KZT</v>
          </cell>
          <cell r="C3060" t="str">
            <v>43434KAZAKHSTAN</v>
          </cell>
          <cell r="D3060" t="str">
            <v>KZT</v>
          </cell>
          <cell r="E3060">
            <v>7.1643899804527713</v>
          </cell>
          <cell r="F3060">
            <v>6.3410833333333336</v>
          </cell>
          <cell r="G3060" t="str">
            <v>KAZAKHSTAN</v>
          </cell>
          <cell r="H3060">
            <v>6</v>
          </cell>
        </row>
        <row r="3061">
          <cell r="B3061" t="str">
            <v>43434MAD</v>
          </cell>
          <cell r="C3061" t="str">
            <v>43434MOROCCO</v>
          </cell>
          <cell r="D3061" t="str">
            <v>MAD</v>
          </cell>
          <cell r="E3061">
            <v>4.2094972584157544</v>
          </cell>
          <cell r="F3061">
            <v>2.3166666666666664</v>
          </cell>
          <cell r="G3061" t="str">
            <v>MOROCCO</v>
          </cell>
          <cell r="H3061">
            <v>6</v>
          </cell>
        </row>
        <row r="3062">
          <cell r="B3062" t="str">
            <v>43434MXN</v>
          </cell>
          <cell r="C3062" t="str">
            <v>43434MEXICO</v>
          </cell>
          <cell r="D3062" t="str">
            <v>MXN</v>
          </cell>
          <cell r="E3062">
            <v>5.7263348984777842</v>
          </cell>
          <cell r="F3062">
            <v>4.6703333333333337</v>
          </cell>
          <cell r="G3062" t="str">
            <v>MEXICO</v>
          </cell>
          <cell r="H3062">
            <v>7</v>
          </cell>
        </row>
        <row r="3063">
          <cell r="B3063" t="str">
            <v>43434MYR</v>
          </cell>
          <cell r="C3063" t="str">
            <v>43434MALAYSIA</v>
          </cell>
          <cell r="D3063" t="str">
            <v>MYR</v>
          </cell>
          <cell r="E3063">
            <v>4.4011107220461678</v>
          </cell>
          <cell r="F3063">
            <v>1.103</v>
          </cell>
          <cell r="G3063" t="str">
            <v>MALAYSIA</v>
          </cell>
          <cell r="H3063">
            <v>5.5</v>
          </cell>
        </row>
        <row r="3064">
          <cell r="B3064" t="str">
            <v>43434NGN</v>
          </cell>
          <cell r="C3064" t="str">
            <v>43434NIGERIA</v>
          </cell>
          <cell r="D3064" t="str">
            <v>NGN</v>
          </cell>
          <cell r="E3064">
            <v>15.777511345173515</v>
          </cell>
          <cell r="F3064">
            <v>12.495166666666666</v>
          </cell>
          <cell r="G3064" t="str">
            <v>NIGERIA</v>
          </cell>
          <cell r="H3064">
            <v>6</v>
          </cell>
        </row>
        <row r="3065">
          <cell r="B3065" t="str">
            <v>43434NOK</v>
          </cell>
          <cell r="C3065" t="str">
            <v>43434NORWAY</v>
          </cell>
          <cell r="D3065" t="str">
            <v>NOK</v>
          </cell>
          <cell r="E3065">
            <v>4.2299921522459796</v>
          </cell>
          <cell r="F3065">
            <v>1.9083333333333332</v>
          </cell>
          <cell r="G3065" t="str">
            <v>NORWAY</v>
          </cell>
          <cell r="H3065">
            <v>4</v>
          </cell>
        </row>
        <row r="3066">
          <cell r="B3066" t="str">
            <v>43434NZD</v>
          </cell>
          <cell r="C3066" t="str">
            <v>43434NEW ZEALAND</v>
          </cell>
          <cell r="D3066" t="str">
            <v>NZD</v>
          </cell>
          <cell r="E3066">
            <v>4.0657268075408517</v>
          </cell>
          <cell r="F3066">
            <v>1.42675</v>
          </cell>
          <cell r="G3066" t="str">
            <v>NEW ZEALAND</v>
          </cell>
          <cell r="H3066">
            <v>4</v>
          </cell>
        </row>
        <row r="3067">
          <cell r="B3067" t="str">
            <v>43434OMR</v>
          </cell>
          <cell r="C3067" t="str">
            <v>43434OMAN</v>
          </cell>
          <cell r="D3067" t="str">
            <v>OMR</v>
          </cell>
          <cell r="E3067">
            <v>5.0877186405923904</v>
          </cell>
          <cell r="F3067">
            <v>2.5350000000000001</v>
          </cell>
          <cell r="G3067" t="str">
            <v>OMAN</v>
          </cell>
          <cell r="H3067">
            <v>6</v>
          </cell>
        </row>
        <row r="3068">
          <cell r="B3068" t="str">
            <v>43434PEN</v>
          </cell>
          <cell r="C3068" t="str">
            <v>43434PERU</v>
          </cell>
          <cell r="D3068" t="str">
            <v>PEN</v>
          </cell>
          <cell r="E3068">
            <v>4.1289134004498331</v>
          </cell>
          <cell r="F3068">
            <v>1.4483333333333335</v>
          </cell>
          <cell r="G3068" t="str">
            <v>PERU</v>
          </cell>
          <cell r="H3068">
            <v>5</v>
          </cell>
        </row>
        <row r="3069">
          <cell r="B3069" t="str">
            <v>43434PGK</v>
          </cell>
          <cell r="C3069" t="str">
            <v>43434PAPUA NEW GUINEA</v>
          </cell>
          <cell r="D3069" t="str">
            <v>PGK</v>
          </cell>
          <cell r="E3069">
            <v>6.1404805572603784</v>
          </cell>
          <cell r="F3069">
            <v>4.1703333333333337</v>
          </cell>
          <cell r="G3069" t="str">
            <v>PAPUA NEW GUINEA</v>
          </cell>
          <cell r="H3069">
            <v>6</v>
          </cell>
        </row>
        <row r="3070">
          <cell r="B3070" t="str">
            <v>43434PHP</v>
          </cell>
          <cell r="C3070" t="str">
            <v>43434PHILIPPINES</v>
          </cell>
          <cell r="D3070" t="str">
            <v>PHP</v>
          </cell>
          <cell r="E3070">
            <v>5.9210541921415984</v>
          </cell>
          <cell r="F3070">
            <v>4.8695833333333338</v>
          </cell>
          <cell r="G3070" t="str">
            <v>PHILIPPINES</v>
          </cell>
          <cell r="H3070">
            <v>5</v>
          </cell>
        </row>
        <row r="3071">
          <cell r="B3071" t="str">
            <v>43434PKR</v>
          </cell>
          <cell r="C3071" t="str">
            <v>43434PAKISTAN</v>
          </cell>
          <cell r="D3071" t="str">
            <v>PKR</v>
          </cell>
          <cell r="E3071">
            <v>7.8170271879906696</v>
          </cell>
          <cell r="F3071">
            <v>4.2209166666666667</v>
          </cell>
          <cell r="G3071" t="str">
            <v>PAKISTAN</v>
          </cell>
          <cell r="H3071">
            <v>6</v>
          </cell>
        </row>
        <row r="3072">
          <cell r="B3072" t="str">
            <v>43434PLN</v>
          </cell>
          <cell r="C3072" t="str">
            <v>43434POLAND</v>
          </cell>
          <cell r="D3072" t="str">
            <v>PLN</v>
          </cell>
          <cell r="E3072">
            <v>4.7136441877784465</v>
          </cell>
          <cell r="F3072">
            <v>2.0591666666666666</v>
          </cell>
          <cell r="G3072" t="str">
            <v>POLAND</v>
          </cell>
          <cell r="H3072">
            <v>4.5</v>
          </cell>
        </row>
        <row r="3073">
          <cell r="B3073" t="str">
            <v>43434QAR</v>
          </cell>
          <cell r="C3073" t="str">
            <v>43434QATAR</v>
          </cell>
          <cell r="D3073" t="str">
            <v>QAR</v>
          </cell>
          <cell r="E3073">
            <v>4.9628101214862976</v>
          </cell>
          <cell r="F3073">
            <v>2.5350000000000001</v>
          </cell>
          <cell r="G3073" t="str">
            <v>QATAR</v>
          </cell>
          <cell r="H3073">
            <v>6</v>
          </cell>
        </row>
        <row r="3074">
          <cell r="B3074" t="str">
            <v>43434RON</v>
          </cell>
          <cell r="C3074" t="str">
            <v>43434ROMANIA</v>
          </cell>
          <cell r="D3074" t="str">
            <v>RON</v>
          </cell>
          <cell r="E3074">
            <v>5.3010586188400302</v>
          </cell>
          <cell r="F3074">
            <v>4.4985833333333343</v>
          </cell>
          <cell r="G3074" t="str">
            <v>ROMANIA</v>
          </cell>
          <cell r="H3074">
            <v>6</v>
          </cell>
        </row>
        <row r="3075">
          <cell r="B3075" t="str">
            <v>43434RUB</v>
          </cell>
          <cell r="C3075" t="str">
            <v>43434RUSSIAN FEDERATION</v>
          </cell>
          <cell r="D3075" t="str">
            <v>RUB</v>
          </cell>
          <cell r="E3075">
            <v>6.7095097565928388</v>
          </cell>
          <cell r="F3075">
            <v>3.0145</v>
          </cell>
          <cell r="G3075" t="str">
            <v>RUSSIAN FEDERATION</v>
          </cell>
          <cell r="H3075">
            <v>8.5</v>
          </cell>
        </row>
        <row r="3076">
          <cell r="B3076" t="str">
            <v>43434SAR</v>
          </cell>
          <cell r="C3076" t="str">
            <v>43434SAUDI ARABIA</v>
          </cell>
          <cell r="D3076" t="str">
            <v>SAR</v>
          </cell>
          <cell r="E3076">
            <v>4.4878122874579631</v>
          </cell>
          <cell r="F3076">
            <v>2.5350000000000001</v>
          </cell>
          <cell r="G3076" t="str">
            <v>SAUDI ARABIA</v>
          </cell>
          <cell r="H3076">
            <v>5</v>
          </cell>
        </row>
        <row r="3077">
          <cell r="B3077" t="str">
            <v>43434SEK</v>
          </cell>
          <cell r="C3077" t="str">
            <v>43434SWEDEN</v>
          </cell>
          <cell r="D3077" t="str">
            <v>SEK</v>
          </cell>
          <cell r="E3077">
            <v>4.1247604879620905</v>
          </cell>
          <cell r="F3077">
            <v>1.9103333333333334</v>
          </cell>
          <cell r="G3077" t="str">
            <v>SWEDEN</v>
          </cell>
          <cell r="H3077">
            <v>4</v>
          </cell>
        </row>
        <row r="3078">
          <cell r="B3078" t="str">
            <v>43434SGD</v>
          </cell>
          <cell r="C3078" t="str">
            <v>43434SINGAPORE</v>
          </cell>
          <cell r="D3078" t="str">
            <v>SGD</v>
          </cell>
          <cell r="E3078">
            <v>3.5499026973653516</v>
          </cell>
          <cell r="F3078">
            <v>1.0630833333333334</v>
          </cell>
          <cell r="G3078" t="str">
            <v>SINGAPORE</v>
          </cell>
          <cell r="H3078">
            <v>4</v>
          </cell>
        </row>
        <row r="3079">
          <cell r="B3079" t="str">
            <v>43434TZS</v>
          </cell>
          <cell r="C3079" t="str">
            <v>43434TANZANIA, UNITED REPUBLIC OF</v>
          </cell>
          <cell r="D3079" t="str">
            <v>TZS</v>
          </cell>
          <cell r="E3079">
            <v>6.9391594893653687</v>
          </cell>
          <cell r="F3079">
            <v>3.8692500000000001</v>
          </cell>
          <cell r="G3079" t="str">
            <v>TANZANIA, UNITED REPUBLIC OF</v>
          </cell>
          <cell r="H3079">
            <v>6</v>
          </cell>
        </row>
        <row r="3080">
          <cell r="B3080" t="str">
            <v>43434THB</v>
          </cell>
          <cell r="C3080" t="str">
            <v>43434THAILAND</v>
          </cell>
          <cell r="D3080" t="str">
            <v>THB</v>
          </cell>
          <cell r="E3080">
            <v>3.4762411322035538</v>
          </cell>
          <cell r="F3080">
            <v>0.91783333333333339</v>
          </cell>
          <cell r="G3080" t="str">
            <v>THAILAND</v>
          </cell>
          <cell r="H3080">
            <v>5.0736615651617978</v>
          </cell>
        </row>
        <row r="3081">
          <cell r="B3081" t="str">
            <v>43434TRY</v>
          </cell>
          <cell r="C3081" t="str">
            <v>43434TURKEY</v>
          </cell>
          <cell r="D3081" t="str">
            <v>TRY</v>
          </cell>
          <cell r="E3081">
            <v>16.705093575227608</v>
          </cell>
          <cell r="F3081">
            <v>15.152249999999999</v>
          </cell>
          <cell r="G3081" t="str">
            <v>TURKEY</v>
          </cell>
          <cell r="H3081">
            <v>7</v>
          </cell>
        </row>
        <row r="3082">
          <cell r="B3082" t="str">
            <v>43434TWD</v>
          </cell>
          <cell r="C3082" t="str">
            <v>43434TAIWAN</v>
          </cell>
          <cell r="D3082" t="str">
            <v>TWD</v>
          </cell>
          <cell r="E3082">
            <v>3.8497638176941109</v>
          </cell>
          <cell r="F3082">
            <v>1.4833333333333334</v>
          </cell>
          <cell r="G3082" t="str">
            <v>TAIWAN</v>
          </cell>
          <cell r="H3082">
            <v>5</v>
          </cell>
        </row>
        <row r="3083">
          <cell r="B3083" t="str">
            <v>43434UAH</v>
          </cell>
          <cell r="C3083" t="str">
            <v>43434UKRAINE</v>
          </cell>
          <cell r="D3083" t="str">
            <v>UAH</v>
          </cell>
          <cell r="E3083">
            <v>9.3152109550107145</v>
          </cell>
          <cell r="F3083">
            <v>10.628000000000002</v>
          </cell>
          <cell r="G3083" t="str">
            <v>UKRAINE</v>
          </cell>
          <cell r="H3083">
            <v>6</v>
          </cell>
        </row>
        <row r="3084">
          <cell r="B3084" t="str">
            <v>43434USD</v>
          </cell>
          <cell r="C3084" t="str">
            <v>43434UNITED STATES</v>
          </cell>
          <cell r="D3084" t="str">
            <v>USD</v>
          </cell>
          <cell r="E3084">
            <v>4.4921558120841345</v>
          </cell>
          <cell r="F3084">
            <v>2.3825833333333333</v>
          </cell>
          <cell r="G3084" t="str">
            <v>UNITED STATES</v>
          </cell>
          <cell r="H3084">
            <v>4</v>
          </cell>
        </row>
        <row r="3085">
          <cell r="B3085" t="str">
            <v>43434VND</v>
          </cell>
          <cell r="C3085" t="str">
            <v>43434VIET NAM</v>
          </cell>
          <cell r="D3085" t="str">
            <v>VND</v>
          </cell>
          <cell r="E3085">
            <v>6.2099691952184157</v>
          </cell>
          <cell r="F3085">
            <v>3.8166666666666664</v>
          </cell>
          <cell r="G3085" t="str">
            <v>VIET NAM</v>
          </cell>
          <cell r="H3085">
            <v>6</v>
          </cell>
        </row>
        <row r="3086">
          <cell r="B3086" t="str">
            <v>43434XOF</v>
          </cell>
          <cell r="C3086" t="str">
            <v>43434MALI</v>
          </cell>
          <cell r="D3086" t="str">
            <v>XOF</v>
          </cell>
          <cell r="E3086">
            <v>4.4743112183310432</v>
          </cell>
          <cell r="F3086">
            <v>2.438166666666667</v>
          </cell>
          <cell r="G3086" t="str">
            <v>MALI</v>
          </cell>
          <cell r="H3086">
            <v>6</v>
          </cell>
        </row>
        <row r="3087">
          <cell r="B3087" t="str">
            <v>43434ZAR</v>
          </cell>
          <cell r="C3087" t="str">
            <v>43434SOUTH AFRICA</v>
          </cell>
          <cell r="D3087" t="str">
            <v>ZAR</v>
          </cell>
          <cell r="E3087">
            <v>7.5348592534675554</v>
          </cell>
          <cell r="F3087">
            <v>4.8195833333333331</v>
          </cell>
          <cell r="G3087" t="str">
            <v>SOUTH AFRICA</v>
          </cell>
          <cell r="H3087">
            <v>5</v>
          </cell>
        </row>
        <row r="3088">
          <cell r="B3088" t="str">
            <v>43434ZMW</v>
          </cell>
          <cell r="C3088" t="str">
            <v>43434ZAMBIA</v>
          </cell>
          <cell r="D3088" t="str">
            <v>ZMW</v>
          </cell>
          <cell r="E3088">
            <v>10.398419746027269</v>
          </cell>
          <cell r="F3088">
            <v>8.4727500000000013</v>
          </cell>
          <cell r="G3088" t="str">
            <v>ZAMBIA</v>
          </cell>
          <cell r="H3088">
            <v>6</v>
          </cell>
        </row>
        <row r="3089">
          <cell r="B3089" t="str">
            <v>43434EUR1</v>
          </cell>
          <cell r="C3089" t="str">
            <v>43434BELGIUM</v>
          </cell>
          <cell r="D3089" t="str">
            <v>EUR1</v>
          </cell>
          <cell r="E3089">
            <v>4.0981112474149075</v>
          </cell>
          <cell r="F3089">
            <v>0</v>
          </cell>
          <cell r="G3089" t="str">
            <v>BELGIUM</v>
          </cell>
          <cell r="H3089">
            <v>4</v>
          </cell>
        </row>
        <row r="3090">
          <cell r="B3090" t="str">
            <v>43434EUR2</v>
          </cell>
          <cell r="C3090" t="str">
            <v>43434CYPRUS</v>
          </cell>
          <cell r="D3090" t="str">
            <v>EUR2</v>
          </cell>
          <cell r="E3090">
            <v>4.0981112474149075</v>
          </cell>
          <cell r="F3090">
            <v>0</v>
          </cell>
          <cell r="G3090" t="str">
            <v>CYPRUS</v>
          </cell>
          <cell r="H3090">
            <v>5</v>
          </cell>
        </row>
        <row r="3091">
          <cell r="B3091" t="str">
            <v>43434EUR3</v>
          </cell>
          <cell r="C3091" t="str">
            <v>43434ESTONIA</v>
          </cell>
          <cell r="D3091" t="str">
            <v>EUR3</v>
          </cell>
          <cell r="E3091">
            <v>4.0981112474149075</v>
          </cell>
          <cell r="F3091">
            <v>0</v>
          </cell>
          <cell r="G3091" t="str">
            <v>ESTONIA</v>
          </cell>
          <cell r="H3091">
            <v>6</v>
          </cell>
        </row>
        <row r="3092">
          <cell r="B3092" t="str">
            <v>43434EUR4</v>
          </cell>
          <cell r="C3092" t="str">
            <v>43434FINLAND</v>
          </cell>
          <cell r="D3092" t="str">
            <v>EUR4</v>
          </cell>
          <cell r="E3092">
            <v>4.0981112474149075</v>
          </cell>
          <cell r="F3092">
            <v>0</v>
          </cell>
          <cell r="G3092" t="str">
            <v>FINLAND</v>
          </cell>
          <cell r="H3092">
            <v>4</v>
          </cell>
        </row>
        <row r="3093">
          <cell r="B3093" t="str">
            <v>43434EUR5</v>
          </cell>
          <cell r="C3093" t="str">
            <v>43434FRANCE</v>
          </cell>
          <cell r="D3093" t="str">
            <v>EUR5</v>
          </cell>
          <cell r="E3093">
            <v>4.0981112474149075</v>
          </cell>
          <cell r="F3093">
            <v>0</v>
          </cell>
          <cell r="G3093" t="str">
            <v>FRANCE</v>
          </cell>
          <cell r="H3093">
            <v>4</v>
          </cell>
        </row>
        <row r="3094">
          <cell r="B3094" t="str">
            <v>43434EUR6</v>
          </cell>
          <cell r="C3094" t="str">
            <v>43434GERMANY</v>
          </cell>
          <cell r="D3094" t="str">
            <v>EUR6</v>
          </cell>
          <cell r="E3094">
            <v>4.0981112474149075</v>
          </cell>
          <cell r="F3094">
            <v>0</v>
          </cell>
          <cell r="G3094" t="str">
            <v>GERMANY</v>
          </cell>
          <cell r="H3094">
            <v>4.2353413943730231</v>
          </cell>
        </row>
        <row r="3095">
          <cell r="B3095" t="str">
            <v>43434EUR7</v>
          </cell>
          <cell r="C3095" t="str">
            <v>43434GREECE</v>
          </cell>
          <cell r="D3095" t="str">
            <v>EUR7</v>
          </cell>
          <cell r="E3095">
            <v>4.0981112474149075</v>
          </cell>
          <cell r="F3095">
            <v>0</v>
          </cell>
          <cell r="G3095" t="str">
            <v>GREECE</v>
          </cell>
          <cell r="H3095">
            <v>7</v>
          </cell>
        </row>
        <row r="3096">
          <cell r="B3096" t="str">
            <v>43434EUR8</v>
          </cell>
          <cell r="C3096" t="str">
            <v>43434IRELAND</v>
          </cell>
          <cell r="D3096" t="str">
            <v>EUR8</v>
          </cell>
          <cell r="E3096">
            <v>4.0981112474149075</v>
          </cell>
          <cell r="F3096">
            <v>0</v>
          </cell>
          <cell r="G3096" t="str">
            <v>IRELAND</v>
          </cell>
          <cell r="H3096">
            <v>4</v>
          </cell>
        </row>
        <row r="3097">
          <cell r="B3097" t="str">
            <v>43434EUR9</v>
          </cell>
          <cell r="C3097" t="str">
            <v>43434ITALY</v>
          </cell>
          <cell r="D3097" t="str">
            <v>EUR9</v>
          </cell>
          <cell r="E3097">
            <v>4.0981112474149075</v>
          </cell>
          <cell r="F3097">
            <v>0</v>
          </cell>
          <cell r="G3097" t="str">
            <v>ITALY</v>
          </cell>
          <cell r="H3097">
            <v>4.5</v>
          </cell>
        </row>
        <row r="3098">
          <cell r="B3098" t="str">
            <v>43434EUR10</v>
          </cell>
          <cell r="C3098" t="str">
            <v>43434LATVIA</v>
          </cell>
          <cell r="D3098" t="str">
            <v>EUR10</v>
          </cell>
          <cell r="E3098">
            <v>4.0981112474149075</v>
          </cell>
          <cell r="F3098">
            <v>0</v>
          </cell>
          <cell r="G3098" t="str">
            <v>LATVIA</v>
          </cell>
          <cell r="H3098">
            <v>6</v>
          </cell>
        </row>
        <row r="3099">
          <cell r="B3099" t="str">
            <v>43434EUR11</v>
          </cell>
          <cell r="C3099" t="str">
            <v>43434LUXEMBOURG</v>
          </cell>
          <cell r="D3099" t="str">
            <v>EUR11</v>
          </cell>
          <cell r="E3099">
            <v>4.0981112474149075</v>
          </cell>
          <cell r="F3099">
            <v>0</v>
          </cell>
          <cell r="G3099" t="str">
            <v>LUXEMBOURG</v>
          </cell>
          <cell r="H3099">
            <v>4</v>
          </cell>
        </row>
        <row r="3100">
          <cell r="B3100" t="str">
            <v>43434EUR12</v>
          </cell>
          <cell r="C3100" t="str">
            <v>43434MALTA</v>
          </cell>
          <cell r="D3100" t="str">
            <v>EUR12</v>
          </cell>
          <cell r="E3100">
            <v>4.0981112474149075</v>
          </cell>
          <cell r="F3100">
            <v>0</v>
          </cell>
          <cell r="G3100" t="str">
            <v>MALTA</v>
          </cell>
          <cell r="H3100">
            <v>4</v>
          </cell>
        </row>
        <row r="3101">
          <cell r="B3101" t="str">
            <v>43434EUR13</v>
          </cell>
          <cell r="C3101" t="str">
            <v>43434MONTENEGRO</v>
          </cell>
          <cell r="D3101" t="str">
            <v>EUR13</v>
          </cell>
          <cell r="E3101">
            <v>4.0981112474149075</v>
          </cell>
          <cell r="F3101">
            <v>0</v>
          </cell>
          <cell r="G3101" t="str">
            <v>MONTENEGRO</v>
          </cell>
          <cell r="H3101">
            <v>6</v>
          </cell>
        </row>
        <row r="3102">
          <cell r="B3102" t="str">
            <v>43434EUR14</v>
          </cell>
          <cell r="C3102" t="str">
            <v>43434NETHERLANDS</v>
          </cell>
          <cell r="D3102" t="str">
            <v>EUR14</v>
          </cell>
          <cell r="E3102">
            <v>4.0981112474149075</v>
          </cell>
          <cell r="F3102">
            <v>0</v>
          </cell>
          <cell r="G3102" t="str">
            <v>NETHERLANDS</v>
          </cell>
          <cell r="H3102">
            <v>4</v>
          </cell>
        </row>
        <row r="3103">
          <cell r="B3103" t="str">
            <v>43434EUR15</v>
          </cell>
          <cell r="C3103" t="str">
            <v>43434PORTUGAL</v>
          </cell>
          <cell r="D3103" t="str">
            <v>EUR15</v>
          </cell>
          <cell r="E3103">
            <v>4.0981112474149075</v>
          </cell>
          <cell r="F3103">
            <v>0</v>
          </cell>
          <cell r="G3103" t="str">
            <v>PORTUGAL</v>
          </cell>
          <cell r="H3103">
            <v>4</v>
          </cell>
        </row>
        <row r="3104">
          <cell r="B3104" t="str">
            <v>43434EUR16</v>
          </cell>
          <cell r="C3104" t="str">
            <v>43434SLOVAKIA</v>
          </cell>
          <cell r="D3104" t="str">
            <v>EUR16</v>
          </cell>
          <cell r="E3104">
            <v>4.0981112474149075</v>
          </cell>
          <cell r="F3104">
            <v>0</v>
          </cell>
          <cell r="G3104" t="str">
            <v>SLOVAKIA</v>
          </cell>
          <cell r="H3104">
            <v>5</v>
          </cell>
        </row>
        <row r="3105">
          <cell r="B3105" t="str">
            <v>43434EUR17</v>
          </cell>
          <cell r="C3105" t="str">
            <v>43434SLOVENIA</v>
          </cell>
          <cell r="D3105" t="str">
            <v>EUR17</v>
          </cell>
          <cell r="E3105">
            <v>4.0981112474149075</v>
          </cell>
          <cell r="F3105">
            <v>0</v>
          </cell>
          <cell r="G3105" t="str">
            <v>SLOVENIA</v>
          </cell>
          <cell r="H3105">
            <v>6</v>
          </cell>
        </row>
        <row r="3106">
          <cell r="B3106" t="str">
            <v>43434EUR18</v>
          </cell>
          <cell r="C3106" t="str">
            <v>43434SPAIN</v>
          </cell>
          <cell r="D3106" t="str">
            <v>EUR18</v>
          </cell>
          <cell r="E3106">
            <v>4.0981112474149075</v>
          </cell>
          <cell r="F3106">
            <v>0</v>
          </cell>
          <cell r="G3106" t="str">
            <v>SPAIN</v>
          </cell>
          <cell r="H3106">
            <v>4</v>
          </cell>
        </row>
        <row r="3107">
          <cell r="B3107" t="str">
            <v>43434EUR20</v>
          </cell>
          <cell r="C3107" t="str">
            <v>43434AUSTRIA</v>
          </cell>
          <cell r="D3107" t="str">
            <v>EUR20</v>
          </cell>
          <cell r="E3107">
            <v>4.0981112474149075</v>
          </cell>
          <cell r="F3107">
            <v>0</v>
          </cell>
          <cell r="G3107" t="str">
            <v>AUSTRIA</v>
          </cell>
          <cell r="H3107">
            <v>4</v>
          </cell>
        </row>
        <row r="3108">
          <cell r="B3108" t="str">
            <v>43434Eastern European Institutions</v>
          </cell>
          <cell r="C3108" t="str">
            <v>43434Eastern European Institutions</v>
          </cell>
          <cell r="D3108" t="str">
            <v>Eastern European Institutions</v>
          </cell>
          <cell r="E3108">
            <v>0</v>
          </cell>
          <cell r="G3108" t="str">
            <v>Eastern European Institutions</v>
          </cell>
          <cell r="H3108">
            <v>5</v>
          </cell>
        </row>
        <row r="3109">
          <cell r="B3109" t="str">
            <v>43465AED</v>
          </cell>
          <cell r="C3109" t="str">
            <v>43465U. A. E.</v>
          </cell>
          <cell r="D3109" t="str">
            <v>AED</v>
          </cell>
          <cell r="E3109">
            <v>4.5763881345327198</v>
          </cell>
          <cell r="F3109">
            <v>2.1469999999999998</v>
          </cell>
          <cell r="G3109" t="str">
            <v>U. A. E.</v>
          </cell>
          <cell r="H3109">
            <v>5</v>
          </cell>
        </row>
        <row r="3110">
          <cell r="B3110" t="str">
            <v>43465ARS</v>
          </cell>
          <cell r="C3110" t="str">
            <v>43465ARGENTINA</v>
          </cell>
          <cell r="D3110" t="str">
            <v>ARS</v>
          </cell>
          <cell r="E3110">
            <v>21.023310848088798</v>
          </cell>
          <cell r="F3110">
            <v>31.687000000000001</v>
          </cell>
          <cell r="G3110" t="str">
            <v>ARGENTINA</v>
          </cell>
          <cell r="H3110">
            <v>9</v>
          </cell>
        </row>
        <row r="3111">
          <cell r="B3111" t="str">
            <v>43465AUD</v>
          </cell>
          <cell r="C3111" t="str">
            <v>43465AUSTRALIA</v>
          </cell>
          <cell r="D3111" t="str">
            <v>AUD</v>
          </cell>
          <cell r="E3111">
            <v>4.6568915554525949</v>
          </cell>
          <cell r="F3111">
            <v>2.31</v>
          </cell>
          <cell r="G3111" t="str">
            <v>AUSTRALIA</v>
          </cell>
          <cell r="H3111">
            <v>3.3930106927246708</v>
          </cell>
        </row>
        <row r="3112">
          <cell r="B3112" t="str">
            <v>43465BDT</v>
          </cell>
          <cell r="C3112" t="str">
            <v>43465BANGLADESH</v>
          </cell>
          <cell r="D3112" t="str">
            <v>BDT</v>
          </cell>
          <cell r="E3112">
            <v>8.1624067144062931</v>
          </cell>
          <cell r="F3112">
            <v>6.1479999999999997</v>
          </cell>
          <cell r="G3112" t="str">
            <v>BANGLADESH</v>
          </cell>
          <cell r="H3112">
            <v>6</v>
          </cell>
        </row>
        <row r="3113">
          <cell r="B3113" t="str">
            <v>43465BRL</v>
          </cell>
          <cell r="C3113" t="str">
            <v>43465BRAZIL</v>
          </cell>
          <cell r="D3113" t="str">
            <v>BRL</v>
          </cell>
          <cell r="E3113">
            <v>6.229457530900099</v>
          </cell>
          <cell r="F3113">
            <v>4.1840000000000002</v>
          </cell>
          <cell r="G3113" t="str">
            <v>BRAZIL</v>
          </cell>
          <cell r="H3113">
            <v>7</v>
          </cell>
        </row>
        <row r="3114">
          <cell r="B3114" t="str">
            <v>43465BWP</v>
          </cell>
          <cell r="C3114" t="str">
            <v>43465BOTSWANA</v>
          </cell>
          <cell r="D3114" t="str">
            <v>BWP</v>
          </cell>
          <cell r="E3114">
            <v>6.114982354009272</v>
          </cell>
          <cell r="F3114">
            <v>3.8830000000000005</v>
          </cell>
          <cell r="G3114" t="str">
            <v>BOTSWANA</v>
          </cell>
          <cell r="H3114">
            <v>6</v>
          </cell>
        </row>
        <row r="3115">
          <cell r="B3115" t="str">
            <v>43465CAD</v>
          </cell>
          <cell r="C3115" t="str">
            <v>43465CANADA</v>
          </cell>
          <cell r="D3115" t="str">
            <v>CAD</v>
          </cell>
          <cell r="E3115">
            <v>4.4668369572793001</v>
          </cell>
          <cell r="F3115">
            <v>2.226</v>
          </cell>
          <cell r="G3115" t="str">
            <v>CANADA</v>
          </cell>
          <cell r="H3115">
            <v>4</v>
          </cell>
        </row>
        <row r="3116">
          <cell r="B3116" t="str">
            <v>43465CHF</v>
          </cell>
          <cell r="C3116" t="str">
            <v>43465SWITZERLAND</v>
          </cell>
          <cell r="D3116" t="str">
            <v>CHF</v>
          </cell>
          <cell r="E3116">
            <v>3.3385005739082132</v>
          </cell>
          <cell r="F3116">
            <v>1.3660000000000003</v>
          </cell>
          <cell r="G3116" t="str">
            <v>SWITZERLAND</v>
          </cell>
          <cell r="H3116">
            <v>4</v>
          </cell>
        </row>
        <row r="3117">
          <cell r="B3117" t="str">
            <v>43465CLP</v>
          </cell>
          <cell r="C3117" t="str">
            <v>43465CHILE</v>
          </cell>
          <cell r="D3117" t="str">
            <v>CLP</v>
          </cell>
          <cell r="E3117">
            <v>5.1477533377246845</v>
          </cell>
          <cell r="F3117">
            <v>3.0409999999999999</v>
          </cell>
          <cell r="G3117" t="str">
            <v>CHILE</v>
          </cell>
          <cell r="H3117">
            <v>5</v>
          </cell>
        </row>
        <row r="3118">
          <cell r="B3118" t="str">
            <v>43465CNY</v>
          </cell>
          <cell r="C3118" t="str">
            <v>43465CHINA</v>
          </cell>
          <cell r="D3118" t="str">
            <v>CNY</v>
          </cell>
          <cell r="E3118">
            <v>4.8340631291142557</v>
          </cell>
          <cell r="F3118">
            <v>2.3780000000000001</v>
          </cell>
          <cell r="G3118" t="str">
            <v>CHINA</v>
          </cell>
          <cell r="H3118">
            <v>5</v>
          </cell>
        </row>
        <row r="3119">
          <cell r="B3119" t="str">
            <v>43465COP</v>
          </cell>
          <cell r="C3119" t="str">
            <v>43465COLOMBIA</v>
          </cell>
          <cell r="D3119" t="str">
            <v>COP</v>
          </cell>
          <cell r="E3119">
            <v>5.3813071504420087</v>
          </cell>
          <cell r="F3119">
            <v>3.3650000000000002</v>
          </cell>
          <cell r="G3119" t="str">
            <v>COLOMBIA</v>
          </cell>
          <cell r="H3119">
            <v>6</v>
          </cell>
        </row>
        <row r="3120">
          <cell r="B3120" t="str">
            <v>43465CZK</v>
          </cell>
          <cell r="C3120" t="str">
            <v>43465CZECH REPUBLIC</v>
          </cell>
          <cell r="D3120" t="str">
            <v>CZK</v>
          </cell>
          <cell r="E3120">
            <v>4.3812732030118742</v>
          </cell>
          <cell r="F3120">
            <v>2.323</v>
          </cell>
          <cell r="G3120" t="str">
            <v>CZECH REPUBLIC</v>
          </cell>
          <cell r="H3120">
            <v>5</v>
          </cell>
        </row>
        <row r="3121">
          <cell r="B3121" t="str">
            <v>43465DKK</v>
          </cell>
          <cell r="C3121" t="str">
            <v>43465DENMARK</v>
          </cell>
          <cell r="D3121" t="str">
            <v>DKK</v>
          </cell>
          <cell r="E3121">
            <v>4.0697167716395457</v>
          </cell>
          <cell r="F3121">
            <v>1.7</v>
          </cell>
          <cell r="G3121" t="str">
            <v>DENMARK</v>
          </cell>
          <cell r="H3121">
            <v>4</v>
          </cell>
        </row>
        <row r="3122">
          <cell r="B3122" t="str">
            <v>43465EGP</v>
          </cell>
          <cell r="C3122" t="str">
            <v>43465EGYPT</v>
          </cell>
          <cell r="D3122" t="str">
            <v>EGP</v>
          </cell>
          <cell r="E3122">
            <v>14.30394658352632</v>
          </cell>
          <cell r="F3122">
            <v>13.993</v>
          </cell>
          <cell r="G3122" t="str">
            <v>EGYPT</v>
          </cell>
          <cell r="H3122">
            <v>5</v>
          </cell>
        </row>
        <row r="3123">
          <cell r="B3123" t="str">
            <v>43465EUR</v>
          </cell>
          <cell r="D3123" t="str">
            <v>EUR</v>
          </cell>
          <cell r="E3123">
            <v>4.0981112474149075</v>
          </cell>
          <cell r="F3123">
            <v>1.716</v>
          </cell>
          <cell r="H3123">
            <v>0</v>
          </cell>
        </row>
        <row r="3124">
          <cell r="B3124" t="str">
            <v>43465GBP</v>
          </cell>
          <cell r="C3124" t="str">
            <v>43465UNITED KINGDOM</v>
          </cell>
          <cell r="D3124" t="str">
            <v>GBP</v>
          </cell>
          <cell r="E3124">
            <v>4.387208065685714</v>
          </cell>
          <cell r="F3124">
            <v>2.1720000000000002</v>
          </cell>
          <cell r="G3124" t="str">
            <v>UNITED KINGDOM</v>
          </cell>
          <cell r="H3124">
            <v>4</v>
          </cell>
        </row>
        <row r="3125">
          <cell r="B3125" t="str">
            <v>43465GEL</v>
          </cell>
          <cell r="C3125" t="str">
            <v>43465GEORGIA</v>
          </cell>
          <cell r="D3125" t="str">
            <v>GEL</v>
          </cell>
          <cell r="E3125">
            <v>5.1499270413246458</v>
          </cell>
          <cell r="F3125">
            <v>2.7449999999999997</v>
          </cell>
          <cell r="G3125" t="str">
            <v>GEORGIA</v>
          </cell>
          <cell r="H3125">
            <v>6</v>
          </cell>
        </row>
        <row r="3126">
          <cell r="B3126" t="str">
            <v>43465HKD</v>
          </cell>
          <cell r="C3126" t="str">
            <v>43465HONG KONG</v>
          </cell>
          <cell r="D3126" t="str">
            <v>HKD</v>
          </cell>
          <cell r="E3126">
            <v>4.5499022481772657</v>
          </cell>
          <cell r="F3126">
            <v>2.1469999999999998</v>
          </cell>
          <cell r="G3126" t="str">
            <v>HONG KONG</v>
          </cell>
          <cell r="H3126">
            <v>4</v>
          </cell>
        </row>
        <row r="3127">
          <cell r="B3127" t="str">
            <v>43465GHS</v>
          </cell>
          <cell r="C3127" t="str">
            <v>43465GHANA</v>
          </cell>
          <cell r="D3127" t="str">
            <v>GHS</v>
          </cell>
          <cell r="E3127">
            <v>9.9381810217126265</v>
          </cell>
          <cell r="F3127">
            <v>8</v>
          </cell>
          <cell r="G3127" t="str">
            <v>GHANA</v>
          </cell>
          <cell r="H3127">
            <v>6</v>
          </cell>
        </row>
        <row r="3128">
          <cell r="B3128" t="str">
            <v>43465HRK</v>
          </cell>
          <cell r="C3128" t="str">
            <v>43465CROATIA</v>
          </cell>
          <cell r="D3128" t="str">
            <v>HRK</v>
          </cell>
          <cell r="E3128">
            <v>3.8683343119309468</v>
          </cell>
          <cell r="F3128">
            <v>1.5</v>
          </cell>
          <cell r="G3128" t="str">
            <v>CROATIA</v>
          </cell>
          <cell r="H3128">
            <v>6</v>
          </cell>
        </row>
        <row r="3129">
          <cell r="B3129" t="str">
            <v>43465HUF</v>
          </cell>
          <cell r="C3129" t="str">
            <v>43465HUNGARY</v>
          </cell>
          <cell r="D3129" t="str">
            <v>HUF</v>
          </cell>
          <cell r="E3129">
            <v>5.238892729429482</v>
          </cell>
          <cell r="F3129">
            <v>3.2610000000000006</v>
          </cell>
          <cell r="G3129" t="str">
            <v>HUNGARY</v>
          </cell>
          <cell r="H3129">
            <v>5</v>
          </cell>
        </row>
        <row r="3130">
          <cell r="B3130" t="str">
            <v>43465IDR</v>
          </cell>
          <cell r="C3130" t="str">
            <v>43465INDONESIA</v>
          </cell>
          <cell r="D3130" t="str">
            <v>IDR</v>
          </cell>
          <cell r="E3130">
            <v>5.7431065369510517</v>
          </cell>
          <cell r="F3130">
            <v>3.8490000000000002</v>
          </cell>
          <cell r="G3130" t="str">
            <v>INDONESIA</v>
          </cell>
          <cell r="H3130">
            <v>5</v>
          </cell>
        </row>
        <row r="3131">
          <cell r="B3131" t="str">
            <v>43465ILS</v>
          </cell>
          <cell r="C3131" t="str">
            <v>43465ISRAEL</v>
          </cell>
          <cell r="D3131" t="str">
            <v>ILS</v>
          </cell>
          <cell r="E3131">
            <v>3.8436736991877476</v>
          </cell>
          <cell r="F3131">
            <v>1.3180000000000001</v>
          </cell>
          <cell r="G3131" t="str">
            <v>ISRAEL</v>
          </cell>
          <cell r="H3131">
            <v>4</v>
          </cell>
        </row>
        <row r="3132">
          <cell r="B3132" t="str">
            <v>43465INR</v>
          </cell>
          <cell r="C3132" t="str">
            <v>43465INDIA</v>
          </cell>
          <cell r="D3132" t="str">
            <v>INR</v>
          </cell>
          <cell r="E3132">
            <v>6.7575824416055177</v>
          </cell>
          <cell r="F3132">
            <v>4.8869999999999996</v>
          </cell>
          <cell r="G3132" t="str">
            <v>INDIA</v>
          </cell>
          <cell r="H3132">
            <v>5</v>
          </cell>
        </row>
        <row r="3133">
          <cell r="B3133" t="str">
            <v>43465IQD</v>
          </cell>
          <cell r="C3133" t="str">
            <v>43465IRAQ</v>
          </cell>
          <cell r="D3133" t="str">
            <v>IQD</v>
          </cell>
          <cell r="E3133">
            <v>4.2500000000000018</v>
          </cell>
          <cell r="F3133">
            <v>2</v>
          </cell>
          <cell r="G3133" t="str">
            <v>IRAQ</v>
          </cell>
          <cell r="H3133">
            <v>6</v>
          </cell>
        </row>
        <row r="3134">
          <cell r="B3134" t="str">
            <v>43465JPY</v>
          </cell>
          <cell r="C3134" t="str">
            <v>43465JAPAN</v>
          </cell>
          <cell r="D3134" t="str">
            <v>JPY</v>
          </cell>
          <cell r="E3134">
            <v>3.5355980547647361</v>
          </cell>
          <cell r="F3134">
            <v>1.3149999999999999</v>
          </cell>
          <cell r="G3134" t="str">
            <v>JAPAN</v>
          </cell>
          <cell r="H3134">
            <v>4</v>
          </cell>
        </row>
        <row r="3135">
          <cell r="B3135" t="str">
            <v>43465KES</v>
          </cell>
          <cell r="C3135" t="str">
            <v>43465KENYA</v>
          </cell>
          <cell r="D3135" t="str">
            <v>KES</v>
          </cell>
          <cell r="E3135">
            <v>7.3743505678601364</v>
          </cell>
          <cell r="F3135">
            <v>5.5819999999999999</v>
          </cell>
          <cell r="G3135" t="str">
            <v>KENYA</v>
          </cell>
          <cell r="H3135">
            <v>7.5</v>
          </cell>
        </row>
        <row r="3136">
          <cell r="B3136" t="str">
            <v>43465JOD</v>
          </cell>
          <cell r="C3136" t="str">
            <v>43465JORDAN</v>
          </cell>
          <cell r="D3136" t="str">
            <v>JOD</v>
          </cell>
          <cell r="E3136">
            <v>5.0590495695116235</v>
          </cell>
          <cell r="F3136">
            <v>2.1469999999999998</v>
          </cell>
          <cell r="G3136" t="str">
            <v>JORDAN</v>
          </cell>
          <cell r="H3136">
            <v>6</v>
          </cell>
        </row>
        <row r="3137">
          <cell r="B3137" t="str">
            <v>43465KHR</v>
          </cell>
          <cell r="C3137" t="str">
            <v>43465CAMBODIA</v>
          </cell>
          <cell r="D3137" t="str">
            <v>KHR</v>
          </cell>
          <cell r="E3137">
            <v>5.430331943699799</v>
          </cell>
          <cell r="F3137">
            <v>3.2749999999999999</v>
          </cell>
          <cell r="G3137" t="str">
            <v>CAMBODIA</v>
          </cell>
          <cell r="H3137">
            <v>6</v>
          </cell>
        </row>
        <row r="3138">
          <cell r="B3138" t="str">
            <v>43465KRW</v>
          </cell>
          <cell r="C3138" t="str">
            <v>43465KOREA SOUTH(REPUBLIC OF KOREA)</v>
          </cell>
          <cell r="D3138" t="str">
            <v>KRW</v>
          </cell>
          <cell r="E3138">
            <v>4.0999905930975169</v>
          </cell>
          <cell r="F3138">
            <v>1.7749999999999997</v>
          </cell>
          <cell r="G3138" t="str">
            <v>KOREA SOUTH(REPUBLIC OF KOREA)</v>
          </cell>
          <cell r="H3138">
            <v>5</v>
          </cell>
        </row>
        <row r="3139">
          <cell r="B3139" t="str">
            <v>43465KWD</v>
          </cell>
          <cell r="C3139" t="str">
            <v>43465KUWAIT</v>
          </cell>
          <cell r="D3139" t="str">
            <v>KWD</v>
          </cell>
          <cell r="E3139">
            <v>4.9053364266628243</v>
          </cell>
          <cell r="F3139">
            <v>3</v>
          </cell>
          <cell r="G3139" t="str">
            <v>KUWAIT</v>
          </cell>
          <cell r="H3139">
            <v>6</v>
          </cell>
        </row>
        <row r="3140">
          <cell r="B3140" t="str">
            <v>43465LKR</v>
          </cell>
          <cell r="C3140" t="str">
            <v>43465SRI LANKA</v>
          </cell>
          <cell r="D3140" t="str">
            <v>LKR</v>
          </cell>
          <cell r="E3140">
            <v>7.0997856885606039</v>
          </cell>
          <cell r="F3140">
            <v>4.75</v>
          </cell>
          <cell r="G3140" t="str">
            <v>SRI LANKA</v>
          </cell>
          <cell r="H3140">
            <v>6</v>
          </cell>
        </row>
        <row r="3141">
          <cell r="B3141" t="str">
            <v>43465KZT</v>
          </cell>
          <cell r="C3141" t="str">
            <v>43465KAZAKHSTAN</v>
          </cell>
          <cell r="D3141" t="str">
            <v>KZT</v>
          </cell>
          <cell r="E3141">
            <v>7.1643899804527713</v>
          </cell>
          <cell r="F3141">
            <v>5.5720000000000001</v>
          </cell>
          <cell r="G3141" t="str">
            <v>KAZAKHSTAN</v>
          </cell>
          <cell r="H3141">
            <v>6</v>
          </cell>
        </row>
        <row r="3142">
          <cell r="B3142" t="str">
            <v>43465MAD</v>
          </cell>
          <cell r="C3142" t="str">
            <v>43465MOROCCO</v>
          </cell>
          <cell r="D3142" t="str">
            <v>MAD</v>
          </cell>
          <cell r="E3142">
            <v>4.2094972584157544</v>
          </cell>
          <cell r="F3142">
            <v>1.3999999999999997</v>
          </cell>
          <cell r="G3142" t="str">
            <v>MOROCCO</v>
          </cell>
          <cell r="H3142">
            <v>6</v>
          </cell>
        </row>
        <row r="3143">
          <cell r="B3143" t="str">
            <v>43465MXN</v>
          </cell>
          <cell r="C3143" t="str">
            <v>43465MEXICO</v>
          </cell>
          <cell r="D3143" t="str">
            <v>MXN</v>
          </cell>
          <cell r="E3143">
            <v>5.7263348984777842</v>
          </cell>
          <cell r="F3143">
            <v>3.6179999999999999</v>
          </cell>
          <cell r="G3143" t="str">
            <v>MEXICO</v>
          </cell>
          <cell r="H3143">
            <v>7</v>
          </cell>
        </row>
        <row r="3144">
          <cell r="B3144" t="str">
            <v>43465MYR</v>
          </cell>
          <cell r="C3144" t="str">
            <v>43465MALAYSIA</v>
          </cell>
          <cell r="D3144" t="str">
            <v>MYR</v>
          </cell>
          <cell r="E3144">
            <v>4.4011107220461678</v>
          </cell>
          <cell r="F3144">
            <v>2.2909999999999999</v>
          </cell>
          <cell r="G3144" t="str">
            <v>MALAYSIA</v>
          </cell>
          <cell r="H3144">
            <v>5.5</v>
          </cell>
        </row>
        <row r="3145">
          <cell r="B3145" t="str">
            <v>43465NGN</v>
          </cell>
          <cell r="C3145" t="str">
            <v>43465NIGERIA</v>
          </cell>
          <cell r="D3145" t="str">
            <v>NGN</v>
          </cell>
          <cell r="E3145">
            <v>15.777511345173515</v>
          </cell>
          <cell r="F3145">
            <v>13.497999999999999</v>
          </cell>
          <cell r="G3145" t="str">
            <v>NIGERIA</v>
          </cell>
          <cell r="H3145">
            <v>6</v>
          </cell>
        </row>
        <row r="3146">
          <cell r="B3146" t="str">
            <v>43465NOK</v>
          </cell>
          <cell r="C3146" t="str">
            <v>43465NORWAY</v>
          </cell>
          <cell r="D3146" t="str">
            <v>NOK</v>
          </cell>
          <cell r="E3146">
            <v>4.2299921522459796</v>
          </cell>
          <cell r="F3146">
            <v>2</v>
          </cell>
          <cell r="G3146" t="str">
            <v>NORWAY</v>
          </cell>
          <cell r="H3146">
            <v>4</v>
          </cell>
        </row>
        <row r="3147">
          <cell r="B3147" t="str">
            <v>43465NZD</v>
          </cell>
          <cell r="C3147" t="str">
            <v>43465NEW ZEALAND</v>
          </cell>
          <cell r="D3147" t="str">
            <v>NZD</v>
          </cell>
          <cell r="E3147">
            <v>4.0657268075408517</v>
          </cell>
          <cell r="F3147">
            <v>1.71</v>
          </cell>
          <cell r="G3147" t="str">
            <v>NEW ZEALAND</v>
          </cell>
          <cell r="H3147">
            <v>4</v>
          </cell>
        </row>
        <row r="3148">
          <cell r="B3148" t="str">
            <v>43465OMR</v>
          </cell>
          <cell r="C3148" t="str">
            <v>43465OMAN</v>
          </cell>
          <cell r="D3148" t="str">
            <v>OMR</v>
          </cell>
          <cell r="E3148">
            <v>5.0877186405923904</v>
          </cell>
          <cell r="F3148">
            <v>2.1469999999999998</v>
          </cell>
          <cell r="G3148" t="str">
            <v>OMAN</v>
          </cell>
          <cell r="H3148">
            <v>6</v>
          </cell>
        </row>
        <row r="3149">
          <cell r="B3149" t="str">
            <v>43465PEN</v>
          </cell>
          <cell r="C3149" t="str">
            <v>43465PERU</v>
          </cell>
          <cell r="D3149" t="str">
            <v>PEN</v>
          </cell>
          <cell r="E3149">
            <v>4.1289134004498331</v>
          </cell>
          <cell r="F3149">
            <v>2.0129999999999999</v>
          </cell>
          <cell r="G3149" t="str">
            <v>PERU</v>
          </cell>
          <cell r="H3149">
            <v>5</v>
          </cell>
        </row>
        <row r="3150">
          <cell r="B3150" t="str">
            <v>43465PGK</v>
          </cell>
          <cell r="C3150" t="str">
            <v>43465PAPUA NEW GUINEA</v>
          </cell>
          <cell r="D3150" t="str">
            <v>PGK</v>
          </cell>
          <cell r="E3150">
            <v>6.1404805572603784</v>
          </cell>
          <cell r="F3150">
            <v>3.7890000000000001</v>
          </cell>
          <cell r="G3150" t="str">
            <v>PAPUA NEW GUINEA</v>
          </cell>
          <cell r="H3150">
            <v>6</v>
          </cell>
        </row>
        <row r="3151">
          <cell r="B3151" t="str">
            <v>43465PHP</v>
          </cell>
          <cell r="C3151" t="str">
            <v>43465PHILIPPINES</v>
          </cell>
          <cell r="D3151" t="str">
            <v>PHP</v>
          </cell>
          <cell r="E3151">
            <v>5.9210541921415984</v>
          </cell>
          <cell r="F3151">
            <v>3.996</v>
          </cell>
          <cell r="G3151" t="str">
            <v>PHILIPPINES</v>
          </cell>
          <cell r="H3151">
            <v>5</v>
          </cell>
        </row>
        <row r="3152">
          <cell r="B3152" t="str">
            <v>43465PKR</v>
          </cell>
          <cell r="C3152" t="str">
            <v>43465PAKISTAN</v>
          </cell>
          <cell r="D3152" t="str">
            <v>PKR</v>
          </cell>
          <cell r="E3152">
            <v>7.8170271879906696</v>
          </cell>
          <cell r="F3152">
            <v>7.476</v>
          </cell>
          <cell r="G3152" t="str">
            <v>PAKISTAN</v>
          </cell>
          <cell r="H3152">
            <v>6</v>
          </cell>
        </row>
        <row r="3153">
          <cell r="B3153" t="str">
            <v>43465PLN</v>
          </cell>
          <cell r="C3153" t="str">
            <v>43465POLAND</v>
          </cell>
          <cell r="D3153" t="str">
            <v>PLN</v>
          </cell>
          <cell r="E3153">
            <v>4.7136441877784465</v>
          </cell>
          <cell r="F3153">
            <v>2.831</v>
          </cell>
          <cell r="G3153" t="str">
            <v>POLAND</v>
          </cell>
          <cell r="H3153">
            <v>4.5</v>
          </cell>
        </row>
        <row r="3154">
          <cell r="B3154" t="str">
            <v>43465QAR</v>
          </cell>
          <cell r="C3154" t="str">
            <v>43465QATAR</v>
          </cell>
          <cell r="D3154" t="str">
            <v>QAR</v>
          </cell>
          <cell r="E3154">
            <v>4.9628101214862976</v>
          </cell>
          <cell r="F3154">
            <v>2.1469999999999998</v>
          </cell>
          <cell r="G3154" t="str">
            <v>QATAR</v>
          </cell>
          <cell r="H3154">
            <v>5</v>
          </cell>
        </row>
        <row r="3155">
          <cell r="B3155" t="str">
            <v>43465RON</v>
          </cell>
          <cell r="C3155" t="str">
            <v>43465ROMANIA</v>
          </cell>
          <cell r="D3155" t="str">
            <v>RON</v>
          </cell>
          <cell r="E3155">
            <v>5.3010586188400302</v>
          </cell>
          <cell r="F3155">
            <v>2.69</v>
          </cell>
          <cell r="G3155" t="str">
            <v>ROMANIA</v>
          </cell>
          <cell r="H3155">
            <v>6</v>
          </cell>
        </row>
        <row r="3156">
          <cell r="B3156" t="str">
            <v>43465RUB</v>
          </cell>
          <cell r="C3156" t="str">
            <v>43465RUSSIAN FEDERATION</v>
          </cell>
          <cell r="D3156" t="str">
            <v>RUB</v>
          </cell>
          <cell r="E3156">
            <v>6.7095097565928388</v>
          </cell>
          <cell r="F3156">
            <v>5.0880000000000001</v>
          </cell>
          <cell r="G3156" t="str">
            <v>RUSSIAN FEDERATION</v>
          </cell>
          <cell r="H3156">
            <v>8.5</v>
          </cell>
        </row>
        <row r="3157">
          <cell r="B3157" t="str">
            <v>43465SAR</v>
          </cell>
          <cell r="C3157" t="str">
            <v>43465SAUDI ARABIA</v>
          </cell>
          <cell r="D3157" t="str">
            <v>SAR</v>
          </cell>
          <cell r="E3157">
            <v>4.4878122874579631</v>
          </cell>
          <cell r="F3157">
            <v>2.1469999999999998</v>
          </cell>
          <cell r="G3157" t="str">
            <v>SAUDI ARABIA</v>
          </cell>
          <cell r="H3157">
            <v>5</v>
          </cell>
        </row>
        <row r="3158">
          <cell r="B3158" t="str">
            <v>43465SEK</v>
          </cell>
          <cell r="C3158" t="str">
            <v>43465SWEDEN</v>
          </cell>
          <cell r="D3158" t="str">
            <v>SEK</v>
          </cell>
          <cell r="E3158">
            <v>4.1247604879620905</v>
          </cell>
          <cell r="F3158">
            <v>1.7489999999999999</v>
          </cell>
          <cell r="G3158" t="str">
            <v>SWEDEN</v>
          </cell>
          <cell r="H3158">
            <v>4</v>
          </cell>
        </row>
        <row r="3159">
          <cell r="B3159" t="str">
            <v>43465SGD</v>
          </cell>
          <cell r="C3159" t="str">
            <v>43465SINGAPORE</v>
          </cell>
          <cell r="D3159" t="str">
            <v>SGD</v>
          </cell>
          <cell r="E3159">
            <v>3.5499026973653516</v>
          </cell>
          <cell r="F3159">
            <v>1.3720000000000001</v>
          </cell>
          <cell r="G3159" t="str">
            <v>SINGAPORE</v>
          </cell>
          <cell r="H3159">
            <v>4</v>
          </cell>
        </row>
        <row r="3160">
          <cell r="B3160" t="str">
            <v>43465TZS</v>
          </cell>
          <cell r="C3160" t="str">
            <v>43465TANZANIA, UNITED REPUBLIC OF</v>
          </cell>
          <cell r="D3160" t="str">
            <v>TZS</v>
          </cell>
          <cell r="E3160">
            <v>6.9391594893653687</v>
          </cell>
          <cell r="F3160">
            <v>4.6529999999999996</v>
          </cell>
          <cell r="G3160" t="str">
            <v>TANZANIA, UNITED REPUBLIC OF</v>
          </cell>
          <cell r="H3160">
            <v>6</v>
          </cell>
        </row>
        <row r="3161">
          <cell r="B3161" t="str">
            <v>43465THB</v>
          </cell>
          <cell r="C3161" t="str">
            <v>43465THAILAND</v>
          </cell>
          <cell r="D3161" t="str">
            <v>THB</v>
          </cell>
          <cell r="E3161">
            <v>3.4762411322035538</v>
          </cell>
          <cell r="F3161">
            <v>0.91600000000000004</v>
          </cell>
          <cell r="G3161" t="str">
            <v>THAILAND</v>
          </cell>
          <cell r="H3161">
            <v>5.0736615651617978</v>
          </cell>
        </row>
        <row r="3162">
          <cell r="B3162" t="str">
            <v>43465TRY</v>
          </cell>
          <cell r="C3162" t="str">
            <v>43465TURKEY</v>
          </cell>
          <cell r="D3162" t="str">
            <v>TRY</v>
          </cell>
          <cell r="E3162">
            <v>16.705093575227608</v>
          </cell>
          <cell r="F3162">
            <v>16.706</v>
          </cell>
          <cell r="G3162" t="str">
            <v>TURKEY</v>
          </cell>
          <cell r="H3162">
            <v>7</v>
          </cell>
        </row>
        <row r="3163">
          <cell r="B3163" t="str">
            <v>43465TWD</v>
          </cell>
          <cell r="C3163" t="str">
            <v>43465TAIWAN</v>
          </cell>
          <cell r="D3163" t="str">
            <v>TWD</v>
          </cell>
          <cell r="E3163">
            <v>3.8497638176941109</v>
          </cell>
          <cell r="F3163">
            <v>1.3</v>
          </cell>
          <cell r="G3163" t="str">
            <v>TAIWAN</v>
          </cell>
          <cell r="H3163">
            <v>5</v>
          </cell>
        </row>
        <row r="3164">
          <cell r="B3164" t="str">
            <v>43465UAH</v>
          </cell>
          <cell r="C3164" t="str">
            <v>43465UKRAINE</v>
          </cell>
          <cell r="D3164" t="str">
            <v>UAH</v>
          </cell>
          <cell r="E3164">
            <v>9.3152109550107145</v>
          </cell>
          <cell r="F3164">
            <v>7.3280000000000003</v>
          </cell>
          <cell r="G3164" t="str">
            <v>UKRAINE</v>
          </cell>
          <cell r="H3164">
            <v>6</v>
          </cell>
        </row>
        <row r="3165">
          <cell r="B3165" t="str">
            <v>43465USD</v>
          </cell>
          <cell r="C3165" t="str">
            <v>43465UNITED STATES</v>
          </cell>
          <cell r="D3165" t="str">
            <v>USD</v>
          </cell>
          <cell r="E3165">
            <v>4.4921558120841345</v>
          </cell>
          <cell r="F3165">
            <v>2.1469999999999998</v>
          </cell>
          <cell r="G3165" t="str">
            <v>UNITED STATES</v>
          </cell>
          <cell r="H3165">
            <v>4</v>
          </cell>
        </row>
        <row r="3166">
          <cell r="B3166" t="str">
            <v>43465VND</v>
          </cell>
          <cell r="C3166" t="str">
            <v>43465VIET NAM</v>
          </cell>
          <cell r="D3166" t="str">
            <v>VND</v>
          </cell>
          <cell r="E3166">
            <v>6.2099691952184157</v>
          </cell>
          <cell r="F3166">
            <v>4</v>
          </cell>
          <cell r="G3166" t="str">
            <v>VIET NAM</v>
          </cell>
          <cell r="H3166">
            <v>6</v>
          </cell>
        </row>
        <row r="3167">
          <cell r="B3167" t="str">
            <v>43465XOF</v>
          </cell>
          <cell r="C3167" t="str">
            <v>43465MALI</v>
          </cell>
          <cell r="D3167" t="str">
            <v>XOF</v>
          </cell>
          <cell r="E3167">
            <v>4.4743112183310432</v>
          </cell>
          <cell r="F3167">
            <v>2.077</v>
          </cell>
          <cell r="G3167" t="str">
            <v>MALI</v>
          </cell>
          <cell r="H3167">
            <v>6</v>
          </cell>
        </row>
        <row r="3168">
          <cell r="B3168" t="str">
            <v>43465ZAR</v>
          </cell>
          <cell r="C3168" t="str">
            <v>43465SOUTH AFRICA</v>
          </cell>
          <cell r="D3168" t="str">
            <v>ZAR</v>
          </cell>
          <cell r="E3168">
            <v>7.5348592534675554</v>
          </cell>
          <cell r="F3168">
            <v>5.266</v>
          </cell>
          <cell r="G3168" t="str">
            <v>SOUTH AFRICA</v>
          </cell>
          <cell r="H3168">
            <v>5</v>
          </cell>
        </row>
        <row r="3169">
          <cell r="B3169" t="str">
            <v>43465ZMW</v>
          </cell>
          <cell r="C3169" t="str">
            <v>43465ZAMBIA</v>
          </cell>
          <cell r="D3169" t="str">
            <v>ZMW</v>
          </cell>
          <cell r="E3169">
            <v>10.398419746027269</v>
          </cell>
          <cell r="F3169">
            <v>8.25</v>
          </cell>
          <cell r="G3169" t="str">
            <v>ZAMBIA</v>
          </cell>
          <cell r="H3169">
            <v>6</v>
          </cell>
        </row>
        <row r="3170">
          <cell r="B3170" t="str">
            <v>43465EUR1</v>
          </cell>
          <cell r="C3170" t="str">
            <v>43465BELGIUM</v>
          </cell>
          <cell r="D3170" t="str">
            <v>EUR1</v>
          </cell>
          <cell r="E3170">
            <v>4.0981112474149075</v>
          </cell>
          <cell r="F3170">
            <v>0</v>
          </cell>
          <cell r="G3170" t="str">
            <v>BELGIUM</v>
          </cell>
          <cell r="H3170">
            <v>4</v>
          </cell>
        </row>
        <row r="3171">
          <cell r="B3171" t="str">
            <v>43465EUR2</v>
          </cell>
          <cell r="C3171" t="str">
            <v>43465CYPRUS</v>
          </cell>
          <cell r="D3171" t="str">
            <v>EUR2</v>
          </cell>
          <cell r="E3171">
            <v>4.0981112474149075</v>
          </cell>
          <cell r="F3171">
            <v>0</v>
          </cell>
          <cell r="G3171" t="str">
            <v>CYPRUS</v>
          </cell>
          <cell r="H3171">
            <v>5</v>
          </cell>
        </row>
        <row r="3172">
          <cell r="B3172" t="str">
            <v>43465EUR3</v>
          </cell>
          <cell r="C3172" t="str">
            <v>43465ESTONIA</v>
          </cell>
          <cell r="D3172" t="str">
            <v>EUR3</v>
          </cell>
          <cell r="E3172">
            <v>4.0981112474149075</v>
          </cell>
          <cell r="F3172">
            <v>0</v>
          </cell>
          <cell r="G3172" t="str">
            <v>ESTONIA</v>
          </cell>
          <cell r="H3172">
            <v>6</v>
          </cell>
        </row>
        <row r="3173">
          <cell r="B3173" t="str">
            <v>43465EUR4</v>
          </cell>
          <cell r="C3173" t="str">
            <v>43465FINLAND</v>
          </cell>
          <cell r="D3173" t="str">
            <v>EUR4</v>
          </cell>
          <cell r="E3173">
            <v>4.0981112474149075</v>
          </cell>
          <cell r="F3173">
            <v>0</v>
          </cell>
          <cell r="G3173" t="str">
            <v>FINLAND</v>
          </cell>
          <cell r="H3173">
            <v>4</v>
          </cell>
        </row>
        <row r="3174">
          <cell r="B3174" t="str">
            <v>43465EUR5</v>
          </cell>
          <cell r="C3174" t="str">
            <v>43465FRANCE</v>
          </cell>
          <cell r="D3174" t="str">
            <v>EUR5</v>
          </cell>
          <cell r="E3174">
            <v>4.0981112474149075</v>
          </cell>
          <cell r="F3174">
            <v>0</v>
          </cell>
          <cell r="G3174" t="str">
            <v>FRANCE</v>
          </cell>
          <cell r="H3174">
            <v>4</v>
          </cell>
        </row>
        <row r="3175">
          <cell r="B3175" t="str">
            <v>43465EUR6</v>
          </cell>
          <cell r="C3175" t="str">
            <v>43465GERMANY</v>
          </cell>
          <cell r="D3175" t="str">
            <v>EUR6</v>
          </cell>
          <cell r="E3175">
            <v>4.0981112474149075</v>
          </cell>
          <cell r="F3175">
            <v>0</v>
          </cell>
          <cell r="G3175" t="str">
            <v>GERMANY</v>
          </cell>
          <cell r="H3175">
            <v>4.2353413943730231</v>
          </cell>
        </row>
        <row r="3176">
          <cell r="B3176" t="str">
            <v>43465EUR7</v>
          </cell>
          <cell r="C3176" t="str">
            <v>43465GREECE</v>
          </cell>
          <cell r="D3176" t="str">
            <v>EUR7</v>
          </cell>
          <cell r="E3176">
            <v>4.0981112474149075</v>
          </cell>
          <cell r="F3176">
            <v>0</v>
          </cell>
          <cell r="G3176" t="str">
            <v>GREECE</v>
          </cell>
          <cell r="H3176">
            <v>7</v>
          </cell>
        </row>
        <row r="3177">
          <cell r="B3177" t="str">
            <v>43465EUR8</v>
          </cell>
          <cell r="C3177" t="str">
            <v>43465IRELAND</v>
          </cell>
          <cell r="D3177" t="str">
            <v>EUR8</v>
          </cell>
          <cell r="E3177">
            <v>4.0981112474149075</v>
          </cell>
          <cell r="F3177">
            <v>0</v>
          </cell>
          <cell r="G3177" t="str">
            <v>IRELAND</v>
          </cell>
          <cell r="H3177">
            <v>4</v>
          </cell>
        </row>
        <row r="3178">
          <cell r="B3178" t="str">
            <v>43465EUR9</v>
          </cell>
          <cell r="C3178" t="str">
            <v>43465ITALY</v>
          </cell>
          <cell r="D3178" t="str">
            <v>EUR9</v>
          </cell>
          <cell r="E3178">
            <v>4.0981112474149075</v>
          </cell>
          <cell r="F3178">
            <v>0</v>
          </cell>
          <cell r="G3178" t="str">
            <v>ITALY</v>
          </cell>
          <cell r="H3178">
            <v>4.5</v>
          </cell>
        </row>
        <row r="3179">
          <cell r="B3179" t="str">
            <v>43465EUR10</v>
          </cell>
          <cell r="C3179" t="str">
            <v>43465LATVIA</v>
          </cell>
          <cell r="D3179" t="str">
            <v>EUR10</v>
          </cell>
          <cell r="E3179">
            <v>4.0981112474149075</v>
          </cell>
          <cell r="F3179">
            <v>0</v>
          </cell>
          <cell r="G3179" t="str">
            <v>LATVIA</v>
          </cell>
          <cell r="H3179">
            <v>6</v>
          </cell>
        </row>
        <row r="3180">
          <cell r="B3180" t="str">
            <v>43465EUR11</v>
          </cell>
          <cell r="C3180" t="str">
            <v>43465LUXEMBOURG</v>
          </cell>
          <cell r="D3180" t="str">
            <v>EUR11</v>
          </cell>
          <cell r="E3180">
            <v>4.0981112474149075</v>
          </cell>
          <cell r="F3180">
            <v>0</v>
          </cell>
          <cell r="G3180" t="str">
            <v>LUXEMBOURG</v>
          </cell>
          <cell r="H3180">
            <v>4</v>
          </cell>
        </row>
        <row r="3181">
          <cell r="B3181" t="str">
            <v>43465EUR12</v>
          </cell>
          <cell r="C3181" t="str">
            <v>43465MALTA</v>
          </cell>
          <cell r="D3181" t="str">
            <v>EUR12</v>
          </cell>
          <cell r="E3181">
            <v>4.0981112474149075</v>
          </cell>
          <cell r="F3181">
            <v>0</v>
          </cell>
          <cell r="G3181" t="str">
            <v>MALTA</v>
          </cell>
          <cell r="H3181">
            <v>4</v>
          </cell>
        </row>
        <row r="3182">
          <cell r="B3182" t="str">
            <v>43465EUR13</v>
          </cell>
          <cell r="C3182" t="str">
            <v>43465MONTENEGRO</v>
          </cell>
          <cell r="D3182" t="str">
            <v>EUR13</v>
          </cell>
          <cell r="E3182">
            <v>4.0981112474149075</v>
          </cell>
          <cell r="F3182">
            <v>0</v>
          </cell>
          <cell r="G3182" t="str">
            <v>MONTENEGRO</v>
          </cell>
          <cell r="H3182">
            <v>6</v>
          </cell>
        </row>
        <row r="3183">
          <cell r="B3183" t="str">
            <v>43465EUR14</v>
          </cell>
          <cell r="C3183" t="str">
            <v>43465NETHERLANDS</v>
          </cell>
          <cell r="D3183" t="str">
            <v>EUR14</v>
          </cell>
          <cell r="E3183">
            <v>4.0981112474149075</v>
          </cell>
          <cell r="F3183">
            <v>0</v>
          </cell>
          <cell r="G3183" t="str">
            <v>NETHERLANDS</v>
          </cell>
          <cell r="H3183">
            <v>4</v>
          </cell>
        </row>
        <row r="3184">
          <cell r="B3184" t="str">
            <v>43465EUR15</v>
          </cell>
          <cell r="C3184" t="str">
            <v>43465PORTUGAL</v>
          </cell>
          <cell r="D3184" t="str">
            <v>EUR15</v>
          </cell>
          <cell r="E3184">
            <v>4.0981112474149075</v>
          </cell>
          <cell r="F3184">
            <v>0</v>
          </cell>
          <cell r="G3184" t="str">
            <v>PORTUGAL</v>
          </cell>
          <cell r="H3184">
            <v>4</v>
          </cell>
        </row>
        <row r="3185">
          <cell r="B3185" t="str">
            <v>43465EUR16</v>
          </cell>
          <cell r="C3185" t="str">
            <v>43465SLOVAKIA</v>
          </cell>
          <cell r="D3185" t="str">
            <v>EUR16</v>
          </cell>
          <cell r="E3185">
            <v>4.0981112474149075</v>
          </cell>
          <cell r="F3185">
            <v>0</v>
          </cell>
          <cell r="G3185" t="str">
            <v>SLOVAKIA</v>
          </cell>
          <cell r="H3185">
            <v>5</v>
          </cell>
        </row>
        <row r="3186">
          <cell r="B3186" t="str">
            <v>43465EUR17</v>
          </cell>
          <cell r="C3186" t="str">
            <v>43465SLOVENIA</v>
          </cell>
          <cell r="D3186" t="str">
            <v>EUR17</v>
          </cell>
          <cell r="E3186">
            <v>4.0981112474149075</v>
          </cell>
          <cell r="F3186">
            <v>0</v>
          </cell>
          <cell r="G3186" t="str">
            <v>SLOVENIA</v>
          </cell>
          <cell r="H3186">
            <v>6</v>
          </cell>
        </row>
        <row r="3187">
          <cell r="B3187" t="str">
            <v>43465EUR18</v>
          </cell>
          <cell r="C3187" t="str">
            <v>43465SPAIN</v>
          </cell>
          <cell r="D3187" t="str">
            <v>EUR18</v>
          </cell>
          <cell r="E3187">
            <v>4.0981112474149075</v>
          </cell>
          <cell r="F3187">
            <v>0</v>
          </cell>
          <cell r="G3187" t="str">
            <v>SPAIN</v>
          </cell>
          <cell r="H3187">
            <v>4</v>
          </cell>
        </row>
        <row r="3188">
          <cell r="B3188" t="str">
            <v>43465EUR20</v>
          </cell>
          <cell r="C3188" t="str">
            <v>43465AUSTRIA</v>
          </cell>
          <cell r="D3188" t="str">
            <v>EUR20</v>
          </cell>
          <cell r="E3188">
            <v>4.0981112474149075</v>
          </cell>
          <cell r="F3188">
            <v>0</v>
          </cell>
          <cell r="G3188" t="str">
            <v>AUSTRIA</v>
          </cell>
          <cell r="H3188">
            <v>4</v>
          </cell>
        </row>
        <row r="3189">
          <cell r="B3189" t="str">
            <v>43465Eastern European Institutions</v>
          </cell>
          <cell r="C3189" t="str">
            <v>43465Eastern European Institutions</v>
          </cell>
          <cell r="D3189" t="str">
            <v>Eastern European Institutions</v>
          </cell>
          <cell r="E3189">
            <v>0</v>
          </cell>
          <cell r="G3189" t="str">
            <v>Eastern European Institutions</v>
          </cell>
          <cell r="H3189">
            <v>5</v>
          </cell>
        </row>
        <row r="3190">
          <cell r="B3190" t="str">
            <v>43496AED</v>
          </cell>
          <cell r="C3190" t="str">
            <v>43496U. A. E.</v>
          </cell>
          <cell r="D3190" t="str">
            <v>AED</v>
          </cell>
          <cell r="E3190">
            <v>4.5763881345327198</v>
          </cell>
          <cell r="F3190">
            <v>2.1593333333333331</v>
          </cell>
          <cell r="G3190" t="str">
            <v>U. A. E.</v>
          </cell>
          <cell r="H3190">
            <v>5</v>
          </cell>
        </row>
        <row r="3191">
          <cell r="B3191" t="str">
            <v>43496ARS</v>
          </cell>
          <cell r="C3191" t="str">
            <v>43496ARGENTINA</v>
          </cell>
          <cell r="D3191" t="str">
            <v>ARS</v>
          </cell>
          <cell r="E3191">
            <v>21.023310848088798</v>
          </cell>
          <cell r="F3191">
            <v>30.327083333333334</v>
          </cell>
          <cell r="G3191" t="str">
            <v>ARGENTINA</v>
          </cell>
          <cell r="H3191">
            <v>9</v>
          </cell>
        </row>
        <row r="3192">
          <cell r="B3192" t="str">
            <v>43496AUD</v>
          </cell>
          <cell r="C3192" t="str">
            <v>43496AUSTRALIA</v>
          </cell>
          <cell r="D3192" t="str">
            <v>AUD</v>
          </cell>
          <cell r="E3192">
            <v>4.6568915554525949</v>
          </cell>
          <cell r="F3192">
            <v>2.3265000000000002</v>
          </cell>
          <cell r="G3192" t="str">
            <v>AUSTRALIA</v>
          </cell>
          <cell r="H3192">
            <v>3.3930106927246708</v>
          </cell>
        </row>
        <row r="3193">
          <cell r="B3193" t="str">
            <v>43496BDT</v>
          </cell>
          <cell r="C3193" t="str">
            <v>43496BANGLADESH</v>
          </cell>
          <cell r="D3193" t="str">
            <v>BDT</v>
          </cell>
          <cell r="E3193">
            <v>8.1624067144062931</v>
          </cell>
          <cell r="F3193">
            <v>6.1409166666666666</v>
          </cell>
          <cell r="G3193" t="str">
            <v>BANGLADESH</v>
          </cell>
          <cell r="H3193">
            <v>6</v>
          </cell>
        </row>
        <row r="3194">
          <cell r="B3194" t="str">
            <v>43496BRL</v>
          </cell>
          <cell r="C3194" t="str">
            <v>43496BRAZIL</v>
          </cell>
          <cell r="D3194" t="str">
            <v>BRL</v>
          </cell>
          <cell r="E3194">
            <v>6.229457530900099</v>
          </cell>
          <cell r="F3194">
            <v>4.1752500000000001</v>
          </cell>
          <cell r="G3194" t="str">
            <v>BRAZIL</v>
          </cell>
          <cell r="H3194">
            <v>7</v>
          </cell>
        </row>
        <row r="3195">
          <cell r="B3195" t="str">
            <v>43496BWP</v>
          </cell>
          <cell r="C3195" t="str">
            <v>43496BOTSWANA</v>
          </cell>
          <cell r="D3195" t="str">
            <v>BWP</v>
          </cell>
          <cell r="E3195">
            <v>6.114982354009272</v>
          </cell>
          <cell r="F3195">
            <v>3.8760833333333338</v>
          </cell>
          <cell r="G3195" t="str">
            <v>BOTSWANA</v>
          </cell>
          <cell r="H3195">
            <v>6</v>
          </cell>
        </row>
        <row r="3196">
          <cell r="B3196" t="str">
            <v>43496CAD</v>
          </cell>
          <cell r="C3196" t="str">
            <v>43496CANADA</v>
          </cell>
          <cell r="D3196" t="str">
            <v>CAD</v>
          </cell>
          <cell r="E3196">
            <v>4.4668369572793001</v>
          </cell>
          <cell r="F3196">
            <v>2.2151666666666667</v>
          </cell>
          <cell r="G3196" t="str">
            <v>CANADA</v>
          </cell>
          <cell r="H3196">
            <v>4</v>
          </cell>
        </row>
        <row r="3197">
          <cell r="B3197" t="str">
            <v>43496CHF</v>
          </cell>
          <cell r="C3197" t="str">
            <v>43496SWITZERLAND</v>
          </cell>
          <cell r="D3197" t="str">
            <v>CHF</v>
          </cell>
          <cell r="E3197">
            <v>3.3385005739082132</v>
          </cell>
          <cell r="F3197">
            <v>1.3355000000000001</v>
          </cell>
          <cell r="G3197" t="str">
            <v>SWITZERLAND</v>
          </cell>
          <cell r="H3197">
            <v>4</v>
          </cell>
        </row>
        <row r="3198">
          <cell r="B3198" t="str">
            <v>43496CLP</v>
          </cell>
          <cell r="C3198" t="str">
            <v>43496CHILE</v>
          </cell>
          <cell r="D3198" t="str">
            <v>CLP</v>
          </cell>
          <cell r="E3198">
            <v>5.1477533377246845</v>
          </cell>
          <cell r="F3198">
            <v>3.0375833333333335</v>
          </cell>
          <cell r="G3198" t="str">
            <v>CHILE</v>
          </cell>
          <cell r="H3198">
            <v>5</v>
          </cell>
        </row>
        <row r="3199">
          <cell r="B3199" t="str">
            <v>43496CNY</v>
          </cell>
          <cell r="C3199" t="str">
            <v>43496CHINA</v>
          </cell>
          <cell r="D3199" t="str">
            <v>CNY</v>
          </cell>
          <cell r="E3199">
            <v>4.8340631291142557</v>
          </cell>
          <cell r="F3199">
            <v>2.4006666666666665</v>
          </cell>
          <cell r="G3199" t="str">
            <v>CHINA</v>
          </cell>
          <cell r="H3199">
            <v>5</v>
          </cell>
        </row>
        <row r="3200">
          <cell r="B3200" t="str">
            <v>43496COP</v>
          </cell>
          <cell r="C3200" t="str">
            <v>43496COLOMBIA</v>
          </cell>
          <cell r="D3200" t="str">
            <v>COP</v>
          </cell>
          <cell r="E3200">
            <v>5.3813071504420087</v>
          </cell>
          <cell r="F3200">
            <v>3.3341666666666665</v>
          </cell>
          <cell r="G3200" t="str">
            <v>COLOMBIA</v>
          </cell>
          <cell r="H3200">
            <v>6</v>
          </cell>
        </row>
        <row r="3201">
          <cell r="B3201" t="str">
            <v>43496CZK</v>
          </cell>
          <cell r="C3201" t="str">
            <v>43496CZECH REPUBLIC</v>
          </cell>
          <cell r="D3201" t="str">
            <v>CZK</v>
          </cell>
          <cell r="E3201">
            <v>4.3812732030118742</v>
          </cell>
          <cell r="F3201">
            <v>2.2960833333333333</v>
          </cell>
          <cell r="G3201" t="str">
            <v>CZECH REPUBLIC</v>
          </cell>
          <cell r="H3201">
            <v>5</v>
          </cell>
        </row>
        <row r="3202">
          <cell r="B3202" t="str">
            <v>43496DKK</v>
          </cell>
          <cell r="C3202" t="str">
            <v>43496DENMARK</v>
          </cell>
          <cell r="D3202" t="str">
            <v>DKK</v>
          </cell>
          <cell r="E3202">
            <v>4.0697167716395457</v>
          </cell>
          <cell r="F3202">
            <v>1.7250000000000001</v>
          </cell>
          <cell r="G3202" t="str">
            <v>DENMARK</v>
          </cell>
          <cell r="H3202">
            <v>4</v>
          </cell>
        </row>
        <row r="3203">
          <cell r="B3203" t="str">
            <v>43496EGP</v>
          </cell>
          <cell r="C3203" t="str">
            <v>43496EGYPT</v>
          </cell>
          <cell r="D3203" t="str">
            <v>EGP</v>
          </cell>
          <cell r="E3203">
            <v>14.30394658352632</v>
          </cell>
          <cell r="F3203">
            <v>13.735666666666667</v>
          </cell>
          <cell r="G3203" t="str">
            <v>EGYPT</v>
          </cell>
          <cell r="H3203">
            <v>5</v>
          </cell>
        </row>
        <row r="3204">
          <cell r="B3204" t="str">
            <v>43496EUR</v>
          </cell>
          <cell r="D3204" t="str">
            <v>EUR</v>
          </cell>
          <cell r="E3204">
            <v>4.0981112474149075</v>
          </cell>
          <cell r="F3204">
            <v>1.7255833333333335</v>
          </cell>
          <cell r="H3204">
            <v>0</v>
          </cell>
        </row>
        <row r="3205">
          <cell r="B3205" t="str">
            <v>43496GBP</v>
          </cell>
          <cell r="C3205" t="str">
            <v>43496UNITED KINGDOM</v>
          </cell>
          <cell r="D3205" t="str">
            <v>GBP</v>
          </cell>
          <cell r="E3205">
            <v>4.387208065685714</v>
          </cell>
          <cell r="F3205">
            <v>2.1580000000000004</v>
          </cell>
          <cell r="G3205" t="str">
            <v>UNITED KINGDOM</v>
          </cell>
          <cell r="H3205">
            <v>4</v>
          </cell>
        </row>
        <row r="3206">
          <cell r="B3206" t="str">
            <v>43496GEL</v>
          </cell>
          <cell r="C3206" t="str">
            <v>43496GEORGIA</v>
          </cell>
          <cell r="D3206" t="str">
            <v>GEL</v>
          </cell>
          <cell r="E3206">
            <v>5.1499270413246458</v>
          </cell>
          <cell r="F3206">
            <v>2.7662499999999999</v>
          </cell>
          <cell r="G3206" t="str">
            <v>GEORGIA</v>
          </cell>
          <cell r="H3206">
            <v>6</v>
          </cell>
        </row>
        <row r="3207">
          <cell r="B3207" t="str">
            <v>43496HKD</v>
          </cell>
          <cell r="C3207" t="str">
            <v>43496HONG KONG</v>
          </cell>
          <cell r="D3207" t="str">
            <v>HKD</v>
          </cell>
          <cell r="E3207">
            <v>4.5499022481772657</v>
          </cell>
          <cell r="F3207">
            <v>2.1593333333333331</v>
          </cell>
          <cell r="G3207" t="str">
            <v>HONG KONG</v>
          </cell>
          <cell r="H3207">
            <v>4</v>
          </cell>
        </row>
        <row r="3208">
          <cell r="B3208" t="str">
            <v>43496GHS</v>
          </cell>
          <cell r="C3208" t="str">
            <v>43496GHANA</v>
          </cell>
          <cell r="D3208" t="str">
            <v>GHS</v>
          </cell>
          <cell r="E3208">
            <v>9.9381810217126265</v>
          </cell>
          <cell r="F3208">
            <v>8</v>
          </cell>
          <cell r="G3208" t="str">
            <v>GHANA</v>
          </cell>
          <cell r="H3208">
            <v>6</v>
          </cell>
        </row>
        <row r="3209">
          <cell r="B3209" t="str">
            <v>43496HRK</v>
          </cell>
          <cell r="C3209" t="str">
            <v>43496CROATIA</v>
          </cell>
          <cell r="D3209" t="str">
            <v>HRK</v>
          </cell>
          <cell r="E3209">
            <v>3.8683343119309468</v>
          </cell>
          <cell r="F3209">
            <v>1.5</v>
          </cell>
          <cell r="G3209" t="str">
            <v>CROATIA</v>
          </cell>
          <cell r="H3209">
            <v>6</v>
          </cell>
        </row>
        <row r="3210">
          <cell r="B3210" t="str">
            <v>43496HUF</v>
          </cell>
          <cell r="C3210" t="str">
            <v>43496HUNGARY</v>
          </cell>
          <cell r="D3210" t="str">
            <v>HUF</v>
          </cell>
          <cell r="E3210">
            <v>5.238892729429482</v>
          </cell>
          <cell r="F3210">
            <v>3.2365833333333334</v>
          </cell>
          <cell r="G3210" t="str">
            <v>HUNGARY</v>
          </cell>
          <cell r="H3210">
            <v>5</v>
          </cell>
        </row>
        <row r="3211">
          <cell r="B3211" t="str">
            <v>43496IDR</v>
          </cell>
          <cell r="C3211" t="str">
            <v>43496INDONESIA</v>
          </cell>
          <cell r="D3211" t="str">
            <v>IDR</v>
          </cell>
          <cell r="E3211">
            <v>5.7431065369510517</v>
          </cell>
          <cell r="F3211">
            <v>3.8486666666666665</v>
          </cell>
          <cell r="G3211" t="str">
            <v>INDONESIA</v>
          </cell>
          <cell r="H3211">
            <v>5</v>
          </cell>
        </row>
        <row r="3212">
          <cell r="B3212" t="str">
            <v>43496ILS</v>
          </cell>
          <cell r="C3212" t="str">
            <v>43496ISRAEL</v>
          </cell>
          <cell r="D3212" t="str">
            <v>ILS</v>
          </cell>
          <cell r="E3212">
            <v>3.8436736991877476</v>
          </cell>
          <cell r="F3212">
            <v>1.3560833333333335</v>
          </cell>
          <cell r="G3212" t="str">
            <v>ISRAEL</v>
          </cell>
          <cell r="H3212">
            <v>4</v>
          </cell>
        </row>
        <row r="3213">
          <cell r="B3213" t="str">
            <v>43496INR</v>
          </cell>
          <cell r="C3213" t="str">
            <v>43496INDIA</v>
          </cell>
          <cell r="D3213" t="str">
            <v>INR</v>
          </cell>
          <cell r="E3213">
            <v>6.7575824416055177</v>
          </cell>
          <cell r="F3213">
            <v>4.8605833333333335</v>
          </cell>
          <cell r="G3213" t="str">
            <v>INDIA</v>
          </cell>
          <cell r="H3213">
            <v>5</v>
          </cell>
        </row>
        <row r="3214">
          <cell r="B3214" t="str">
            <v>43496IQD</v>
          </cell>
          <cell r="C3214" t="str">
            <v>43496IRAQ</v>
          </cell>
          <cell r="D3214" t="str">
            <v>IQD</v>
          </cell>
          <cell r="E3214">
            <v>4.2500000000000018</v>
          </cell>
          <cell r="F3214">
            <v>2</v>
          </cell>
          <cell r="G3214" t="str">
            <v>IRAQ</v>
          </cell>
          <cell r="H3214">
            <v>6</v>
          </cell>
        </row>
        <row r="3215">
          <cell r="B3215" t="str">
            <v>43496JPY</v>
          </cell>
          <cell r="C3215" t="str">
            <v>43496JAPAN</v>
          </cell>
          <cell r="D3215" t="str">
            <v>JPY</v>
          </cell>
          <cell r="E3215">
            <v>3.5355980547647361</v>
          </cell>
          <cell r="F3215">
            <v>1.3433333333333333</v>
          </cell>
          <cell r="G3215" t="str">
            <v>JAPAN</v>
          </cell>
          <cell r="H3215">
            <v>4</v>
          </cell>
        </row>
        <row r="3216">
          <cell r="B3216" t="str">
            <v>43496KES</v>
          </cell>
          <cell r="C3216" t="str">
            <v>43496KENYA</v>
          </cell>
          <cell r="D3216" t="str">
            <v>KES</v>
          </cell>
          <cell r="E3216">
            <v>7.3743505678601364</v>
          </cell>
          <cell r="F3216">
            <v>5.5335000000000001</v>
          </cell>
          <cell r="G3216" t="str">
            <v>KENYA</v>
          </cell>
          <cell r="H3216">
            <v>7.5</v>
          </cell>
        </row>
        <row r="3217">
          <cell r="B3217" t="str">
            <v>43496JOD</v>
          </cell>
          <cell r="C3217" t="str">
            <v>43496JORDAN</v>
          </cell>
          <cell r="D3217" t="str">
            <v>JOD</v>
          </cell>
          <cell r="E3217">
            <v>5.0590495695116235</v>
          </cell>
          <cell r="F3217">
            <v>2.1593333333333331</v>
          </cell>
          <cell r="G3217" t="str">
            <v>JORDAN</v>
          </cell>
          <cell r="H3217">
            <v>6</v>
          </cell>
        </row>
        <row r="3218">
          <cell r="B3218" t="str">
            <v>43496KHR</v>
          </cell>
          <cell r="C3218" t="str">
            <v>43496CAMBODIA</v>
          </cell>
          <cell r="D3218" t="str">
            <v>KHR</v>
          </cell>
          <cell r="E3218">
            <v>5.430331943699799</v>
          </cell>
          <cell r="F3218">
            <v>3.2715833333333331</v>
          </cell>
          <cell r="G3218" t="str">
            <v>CAMBODIA</v>
          </cell>
          <cell r="H3218">
            <v>6</v>
          </cell>
        </row>
        <row r="3219">
          <cell r="B3219" t="str">
            <v>43496KRW</v>
          </cell>
          <cell r="C3219" t="str">
            <v>43496KOREA SOUTH(REPUBLIC OF KOREA)</v>
          </cell>
          <cell r="D3219" t="str">
            <v>KRW</v>
          </cell>
          <cell r="E3219">
            <v>4.0999905930975169</v>
          </cell>
          <cell r="F3219">
            <v>1.79375</v>
          </cell>
          <cell r="G3219" t="str">
            <v>KOREA SOUTH(REPUBLIC OF KOREA)</v>
          </cell>
          <cell r="H3219">
            <v>5</v>
          </cell>
        </row>
        <row r="3220">
          <cell r="B3220" t="str">
            <v>43496KWD</v>
          </cell>
          <cell r="C3220" t="str">
            <v>43496KUWAIT</v>
          </cell>
          <cell r="D3220" t="str">
            <v>KWD</v>
          </cell>
          <cell r="E3220">
            <v>4.9053364266628243</v>
          </cell>
          <cell r="F3220">
            <v>3.05</v>
          </cell>
          <cell r="G3220" t="str">
            <v>KUWAIT</v>
          </cell>
          <cell r="H3220">
            <v>6</v>
          </cell>
        </row>
        <row r="3221">
          <cell r="B3221" t="str">
            <v>43496LKR</v>
          </cell>
          <cell r="C3221" t="str">
            <v>43496SRI LANKA</v>
          </cell>
          <cell r="D3221" t="str">
            <v>LKR</v>
          </cell>
          <cell r="E3221">
            <v>7.0997856885606039</v>
          </cell>
          <cell r="F3221">
            <v>4.7583333333333337</v>
          </cell>
          <cell r="G3221" t="str">
            <v>SRI LANKA</v>
          </cell>
          <cell r="H3221">
            <v>6</v>
          </cell>
        </row>
        <row r="3222">
          <cell r="B3222" t="str">
            <v>43496KZT</v>
          </cell>
          <cell r="C3222" t="str">
            <v>43496KAZAKHSTAN</v>
          </cell>
          <cell r="D3222" t="str">
            <v>KZT</v>
          </cell>
          <cell r="E3222">
            <v>7.1643899804527713</v>
          </cell>
          <cell r="F3222">
            <v>5.4913333333333334</v>
          </cell>
          <cell r="G3222" t="str">
            <v>KAZAKHSTAN</v>
          </cell>
          <cell r="H3222">
            <v>6</v>
          </cell>
        </row>
        <row r="3223">
          <cell r="B3223" t="str">
            <v>43496MAD</v>
          </cell>
          <cell r="C3223" t="str">
            <v>43496MOROCCO</v>
          </cell>
          <cell r="D3223" t="str">
            <v>MAD</v>
          </cell>
          <cell r="E3223">
            <v>4.2094972584157544</v>
          </cell>
          <cell r="F3223">
            <v>1.45</v>
          </cell>
          <cell r="G3223" t="str">
            <v>MOROCCO</v>
          </cell>
          <cell r="H3223">
            <v>6</v>
          </cell>
        </row>
        <row r="3224">
          <cell r="B3224" t="str">
            <v>43496MXN</v>
          </cell>
          <cell r="C3224" t="str">
            <v>43496MEXICO</v>
          </cell>
          <cell r="D3224" t="str">
            <v>MXN</v>
          </cell>
          <cell r="E3224">
            <v>5.7263348984777842</v>
          </cell>
          <cell r="F3224">
            <v>3.56725</v>
          </cell>
          <cell r="G3224" t="str">
            <v>MEXICO</v>
          </cell>
          <cell r="H3224">
            <v>7</v>
          </cell>
        </row>
        <row r="3225">
          <cell r="B3225" t="str">
            <v>43496MYR</v>
          </cell>
          <cell r="C3225" t="str">
            <v>43496MALAYSIA</v>
          </cell>
          <cell r="D3225" t="str">
            <v>MYR</v>
          </cell>
          <cell r="E3225">
            <v>4.4011107220461678</v>
          </cell>
          <cell r="F3225">
            <v>2.3128333333333337</v>
          </cell>
          <cell r="G3225" t="str">
            <v>MALAYSIA</v>
          </cell>
          <cell r="H3225">
            <v>5.5</v>
          </cell>
        </row>
        <row r="3226">
          <cell r="B3226" t="str">
            <v>43496NGN</v>
          </cell>
          <cell r="C3226" t="str">
            <v>43496NIGERIA</v>
          </cell>
          <cell r="D3226" t="str">
            <v>NGN</v>
          </cell>
          <cell r="E3226">
            <v>15.777511345173515</v>
          </cell>
          <cell r="F3226">
            <v>13.455083333333331</v>
          </cell>
          <cell r="G3226" t="str">
            <v>NIGERIA</v>
          </cell>
          <cell r="H3226">
            <v>6</v>
          </cell>
        </row>
        <row r="3227">
          <cell r="B3227" t="str">
            <v>43496NOK</v>
          </cell>
          <cell r="C3227" t="str">
            <v>43496NORWAY</v>
          </cell>
          <cell r="D3227" t="str">
            <v>NOK</v>
          </cell>
          <cell r="E3227">
            <v>4.2299921522459796</v>
          </cell>
          <cell r="F3227">
            <v>2</v>
          </cell>
          <cell r="G3227" t="str">
            <v>NORWAY</v>
          </cell>
          <cell r="H3227">
            <v>4</v>
          </cell>
        </row>
        <row r="3228">
          <cell r="B3228" t="str">
            <v>43496NZD</v>
          </cell>
          <cell r="C3228" t="str">
            <v>43496NEW ZEALAND</v>
          </cell>
          <cell r="D3228" t="str">
            <v>NZD</v>
          </cell>
          <cell r="E3228">
            <v>4.0657268075408517</v>
          </cell>
          <cell r="F3228">
            <v>1.7290833333333333</v>
          </cell>
          <cell r="G3228" t="str">
            <v>NEW ZEALAND</v>
          </cell>
          <cell r="H3228">
            <v>4</v>
          </cell>
        </row>
        <row r="3229">
          <cell r="B3229" t="str">
            <v>43496OMR</v>
          </cell>
          <cell r="C3229" t="str">
            <v>43496OMAN</v>
          </cell>
          <cell r="D3229" t="str">
            <v>OMR</v>
          </cell>
          <cell r="E3229">
            <v>5.0877186405923904</v>
          </cell>
          <cell r="F3229">
            <v>2.1593333333333331</v>
          </cell>
          <cell r="G3229" t="str">
            <v>OMAN</v>
          </cell>
          <cell r="H3229">
            <v>6</v>
          </cell>
        </row>
        <row r="3230">
          <cell r="B3230" t="str">
            <v>43496PEN</v>
          </cell>
          <cell r="C3230" t="str">
            <v>43496PERU</v>
          </cell>
          <cell r="D3230" t="str">
            <v>PEN</v>
          </cell>
          <cell r="E3230">
            <v>4.1289134004498331</v>
          </cell>
          <cell r="F3230">
            <v>2.0129166666666669</v>
          </cell>
          <cell r="G3230" t="str">
            <v>PERU</v>
          </cell>
          <cell r="H3230">
            <v>5</v>
          </cell>
        </row>
        <row r="3231">
          <cell r="B3231" t="str">
            <v>43496PGK</v>
          </cell>
          <cell r="C3231" t="str">
            <v>43496PAPUA NEW GUINEA</v>
          </cell>
          <cell r="D3231" t="str">
            <v>PGK</v>
          </cell>
          <cell r="E3231">
            <v>6.1404805572603784</v>
          </cell>
          <cell r="F3231">
            <v>3.7913333333333337</v>
          </cell>
          <cell r="G3231" t="str">
            <v>PAPUA NEW GUINEA</v>
          </cell>
          <cell r="H3231">
            <v>6</v>
          </cell>
        </row>
        <row r="3232">
          <cell r="B3232" t="str">
            <v>43496PHP</v>
          </cell>
          <cell r="C3232" t="str">
            <v>43496PHILIPPINES</v>
          </cell>
          <cell r="D3232" t="str">
            <v>PHP</v>
          </cell>
          <cell r="E3232">
            <v>5.9210541921415984</v>
          </cell>
          <cell r="F3232">
            <v>3.9420833333333336</v>
          </cell>
          <cell r="G3232" t="str">
            <v>PHILIPPINES</v>
          </cell>
          <cell r="H3232">
            <v>5</v>
          </cell>
        </row>
        <row r="3233">
          <cell r="B3233" t="str">
            <v>43496PKR</v>
          </cell>
          <cell r="C3233" t="str">
            <v>43496PAKISTAN</v>
          </cell>
          <cell r="D3233" t="str">
            <v>PKR</v>
          </cell>
          <cell r="E3233">
            <v>7.8170271879906696</v>
          </cell>
          <cell r="F3233">
            <v>7.3922500000000007</v>
          </cell>
          <cell r="G3233" t="str">
            <v>PAKISTAN</v>
          </cell>
          <cell r="H3233">
            <v>6</v>
          </cell>
        </row>
        <row r="3234">
          <cell r="B3234" t="str">
            <v>43496PLN</v>
          </cell>
          <cell r="C3234" t="str">
            <v>43496POLAND</v>
          </cell>
          <cell r="D3234" t="str">
            <v>PLN</v>
          </cell>
          <cell r="E3234">
            <v>4.7136441877784465</v>
          </cell>
          <cell r="F3234">
            <v>2.8034166666666667</v>
          </cell>
          <cell r="G3234" t="str">
            <v>POLAND</v>
          </cell>
          <cell r="H3234">
            <v>4.5</v>
          </cell>
        </row>
        <row r="3235">
          <cell r="B3235" t="str">
            <v>43496QAR</v>
          </cell>
          <cell r="C3235" t="str">
            <v>43496QATAR</v>
          </cell>
          <cell r="D3235" t="str">
            <v>QAR</v>
          </cell>
          <cell r="E3235">
            <v>4.9628101214862976</v>
          </cell>
          <cell r="F3235">
            <v>2.1593333333333331</v>
          </cell>
          <cell r="G3235" t="str">
            <v>QATAR</v>
          </cell>
          <cell r="H3235">
            <v>5</v>
          </cell>
        </row>
        <row r="3236">
          <cell r="B3236" t="str">
            <v>43496RON</v>
          </cell>
          <cell r="C3236" t="str">
            <v>43496ROMANIA</v>
          </cell>
          <cell r="D3236" t="str">
            <v>RON</v>
          </cell>
          <cell r="E3236">
            <v>5.3010586188400302</v>
          </cell>
          <cell r="F3236">
            <v>2.6961666666666666</v>
          </cell>
          <cell r="G3236" t="str">
            <v>ROMANIA</v>
          </cell>
          <cell r="H3236">
            <v>6</v>
          </cell>
        </row>
        <row r="3237">
          <cell r="B3237" t="str">
            <v>43496RUB</v>
          </cell>
          <cell r="C3237" t="str">
            <v>43496RUSSIAN FEDERATION</v>
          </cell>
          <cell r="D3237" t="str">
            <v>RUB</v>
          </cell>
          <cell r="E3237">
            <v>6.7095097565928388</v>
          </cell>
          <cell r="F3237">
            <v>5.0640000000000009</v>
          </cell>
          <cell r="G3237" t="str">
            <v>RUSSIAN FEDERATION</v>
          </cell>
          <cell r="H3237">
            <v>8.5</v>
          </cell>
        </row>
        <row r="3238">
          <cell r="B3238" t="str">
            <v>43496SAR</v>
          </cell>
          <cell r="C3238" t="str">
            <v>43496SAUDI ARABIA</v>
          </cell>
          <cell r="D3238" t="str">
            <v>SAR</v>
          </cell>
          <cell r="E3238">
            <v>4.4878122874579631</v>
          </cell>
          <cell r="F3238">
            <v>2.1593333333333331</v>
          </cell>
          <cell r="G3238" t="str">
            <v>SAUDI ARABIA</v>
          </cell>
          <cell r="H3238">
            <v>5</v>
          </cell>
        </row>
        <row r="3239">
          <cell r="B3239" t="str">
            <v>43496SEK</v>
          </cell>
          <cell r="C3239" t="str">
            <v>43496SWEDEN</v>
          </cell>
          <cell r="D3239" t="str">
            <v>SEK</v>
          </cell>
          <cell r="E3239">
            <v>4.1247604879620905</v>
          </cell>
          <cell r="F3239">
            <v>1.75325</v>
          </cell>
          <cell r="G3239" t="str">
            <v>SWEDEN</v>
          </cell>
          <cell r="H3239">
            <v>4</v>
          </cell>
        </row>
        <row r="3240">
          <cell r="B3240" t="str">
            <v>43496SGD</v>
          </cell>
          <cell r="C3240" t="str">
            <v>43496SINGAPORE</v>
          </cell>
          <cell r="D3240" t="str">
            <v>SGD</v>
          </cell>
          <cell r="E3240">
            <v>3.5499026973653516</v>
          </cell>
          <cell r="F3240">
            <v>1.3780833333333333</v>
          </cell>
          <cell r="G3240" t="str">
            <v>SINGAPORE</v>
          </cell>
          <cell r="H3240">
            <v>4</v>
          </cell>
        </row>
        <row r="3241">
          <cell r="B3241" t="str">
            <v>43496TZS</v>
          </cell>
          <cell r="C3241" t="str">
            <v>43496TANZANIA, UNITED REPUBLIC OF</v>
          </cell>
          <cell r="D3241" t="str">
            <v>TZS</v>
          </cell>
          <cell r="E3241">
            <v>6.9391594893653687</v>
          </cell>
          <cell r="F3241">
            <v>4.6819166666666661</v>
          </cell>
          <cell r="G3241" t="str">
            <v>TANZANIA, UNITED REPUBLIC OF</v>
          </cell>
          <cell r="H3241">
            <v>6</v>
          </cell>
        </row>
        <row r="3242">
          <cell r="B3242" t="str">
            <v>43496THB</v>
          </cell>
          <cell r="C3242" t="str">
            <v>43496THAILAND</v>
          </cell>
          <cell r="D3242" t="str">
            <v>THB</v>
          </cell>
          <cell r="E3242">
            <v>3.4762411322035538</v>
          </cell>
          <cell r="F3242">
            <v>0.93133333333333335</v>
          </cell>
          <cell r="G3242" t="str">
            <v>THAILAND</v>
          </cell>
          <cell r="H3242">
            <v>5.0736615651617978</v>
          </cell>
        </row>
        <row r="3243">
          <cell r="B3243" t="str">
            <v>43496TRY</v>
          </cell>
          <cell r="C3243" t="str">
            <v>43496TURKEY</v>
          </cell>
          <cell r="D3243" t="str">
            <v>TRY</v>
          </cell>
          <cell r="E3243">
            <v>17.384793748168352</v>
          </cell>
          <cell r="F3243">
            <v>16.833333333333336</v>
          </cell>
          <cell r="G3243" t="str">
            <v>TURKEY</v>
          </cell>
          <cell r="H3243">
            <v>6</v>
          </cell>
        </row>
        <row r="3244">
          <cell r="B3244" t="str">
            <v>43496TWD</v>
          </cell>
          <cell r="C3244" t="str">
            <v>43496TAIWAN</v>
          </cell>
          <cell r="D3244" t="str">
            <v>TWD</v>
          </cell>
          <cell r="E3244">
            <v>3.8497638176941109</v>
          </cell>
          <cell r="F3244">
            <v>1.3166666666666667</v>
          </cell>
          <cell r="G3244" t="str">
            <v>TAIWAN</v>
          </cell>
          <cell r="H3244">
            <v>5</v>
          </cell>
        </row>
        <row r="3245">
          <cell r="B3245" t="str">
            <v>43496UAH</v>
          </cell>
          <cell r="C3245" t="str">
            <v>43496UKRAINE</v>
          </cell>
          <cell r="D3245" t="str">
            <v>UAH</v>
          </cell>
          <cell r="E3245">
            <v>9.3152109550107145</v>
          </cell>
          <cell r="F3245">
            <v>7.2151666666666667</v>
          </cell>
          <cell r="G3245" t="str">
            <v>UKRAINE</v>
          </cell>
          <cell r="H3245">
            <v>6</v>
          </cell>
        </row>
        <row r="3246">
          <cell r="B3246" t="str">
            <v>43496USD</v>
          </cell>
          <cell r="C3246" t="str">
            <v>43496UNITED STATES</v>
          </cell>
          <cell r="D3246" t="str">
            <v>USD</v>
          </cell>
          <cell r="E3246">
            <v>4.4921558120841345</v>
          </cell>
          <cell r="F3246">
            <v>2.1593333333333331</v>
          </cell>
          <cell r="G3246" t="str">
            <v>UNITED STATES</v>
          </cell>
          <cell r="H3246">
            <v>4</v>
          </cell>
        </row>
        <row r="3247">
          <cell r="B3247" t="str">
            <v>43496VND</v>
          </cell>
          <cell r="C3247" t="str">
            <v>43496VIET NAM</v>
          </cell>
          <cell r="D3247" t="str">
            <v>VND</v>
          </cell>
          <cell r="E3247">
            <v>6.2099691952184157</v>
          </cell>
          <cell r="F3247">
            <v>4</v>
          </cell>
          <cell r="G3247" t="str">
            <v>VIET NAM</v>
          </cell>
          <cell r="H3247">
            <v>6</v>
          </cell>
        </row>
        <row r="3248">
          <cell r="B3248" t="str">
            <v>43496XOF</v>
          </cell>
          <cell r="C3248" t="str">
            <v>43496MALI</v>
          </cell>
          <cell r="D3248" t="str">
            <v>XOF</v>
          </cell>
          <cell r="E3248">
            <v>4.4743112183310432</v>
          </cell>
          <cell r="F3248">
            <v>2.0822500000000002</v>
          </cell>
          <cell r="G3248" t="str">
            <v>MALI</v>
          </cell>
          <cell r="H3248">
            <v>6</v>
          </cell>
        </row>
        <row r="3249">
          <cell r="B3249" t="str">
            <v>43496ZAR</v>
          </cell>
          <cell r="C3249" t="str">
            <v>43496SOUTH AFRICA</v>
          </cell>
          <cell r="D3249" t="str">
            <v>ZAR</v>
          </cell>
          <cell r="E3249">
            <v>7.5348592534675554</v>
          </cell>
          <cell r="F3249">
            <v>5.2755833333333335</v>
          </cell>
          <cell r="G3249" t="str">
            <v>SOUTH AFRICA</v>
          </cell>
          <cell r="H3249">
            <v>5</v>
          </cell>
        </row>
        <row r="3250">
          <cell r="B3250" t="str">
            <v>43496ZMW</v>
          </cell>
          <cell r="C3250" t="str">
            <v>43496ZAMBIA</v>
          </cell>
          <cell r="D3250" t="str">
            <v>ZMW</v>
          </cell>
          <cell r="E3250">
            <v>10.398419746027269</v>
          </cell>
          <cell r="F3250">
            <v>8.2291666666666661</v>
          </cell>
          <cell r="G3250" t="str">
            <v>ZAMBIA</v>
          </cell>
          <cell r="H3250">
            <v>6</v>
          </cell>
        </row>
        <row r="3251">
          <cell r="B3251" t="str">
            <v>43496EUR1</v>
          </cell>
          <cell r="C3251" t="str">
            <v>43496BELGIUM</v>
          </cell>
          <cell r="D3251" t="str">
            <v>EUR1</v>
          </cell>
          <cell r="E3251">
            <v>4.0981112474149075</v>
          </cell>
          <cell r="F3251">
            <v>0</v>
          </cell>
          <cell r="G3251" t="str">
            <v>BELGIUM</v>
          </cell>
          <cell r="H3251">
            <v>4</v>
          </cell>
        </row>
        <row r="3252">
          <cell r="B3252" t="str">
            <v>43496EUR2</v>
          </cell>
          <cell r="C3252" t="str">
            <v>43496CYPRUS</v>
          </cell>
          <cell r="D3252" t="str">
            <v>EUR2</v>
          </cell>
          <cell r="E3252">
            <v>4.0981112474149075</v>
          </cell>
          <cell r="F3252">
            <v>0</v>
          </cell>
          <cell r="G3252" t="str">
            <v>CYPRUS</v>
          </cell>
          <cell r="H3252">
            <v>5</v>
          </cell>
        </row>
        <row r="3253">
          <cell r="B3253" t="str">
            <v>43496EUR3</v>
          </cell>
          <cell r="C3253" t="str">
            <v>43496ESTONIA</v>
          </cell>
          <cell r="D3253" t="str">
            <v>EUR3</v>
          </cell>
          <cell r="E3253">
            <v>4.0981112474149075</v>
          </cell>
          <cell r="F3253">
            <v>0</v>
          </cell>
          <cell r="G3253" t="str">
            <v>ESTONIA</v>
          </cell>
          <cell r="H3253">
            <v>6</v>
          </cell>
        </row>
        <row r="3254">
          <cell r="B3254" t="str">
            <v>43496EUR4</v>
          </cell>
          <cell r="C3254" t="str">
            <v>43496FINLAND</v>
          </cell>
          <cell r="D3254" t="str">
            <v>EUR4</v>
          </cell>
          <cell r="E3254">
            <v>4.0981112474149075</v>
          </cell>
          <cell r="F3254">
            <v>0</v>
          </cell>
          <cell r="G3254" t="str">
            <v>FINLAND</v>
          </cell>
          <cell r="H3254">
            <v>4</v>
          </cell>
        </row>
        <row r="3255">
          <cell r="B3255" t="str">
            <v>43496EUR5</v>
          </cell>
          <cell r="C3255" t="str">
            <v>43496FRANCE</v>
          </cell>
          <cell r="D3255" t="str">
            <v>EUR5</v>
          </cell>
          <cell r="E3255">
            <v>4.0981112474149075</v>
          </cell>
          <cell r="F3255">
            <v>0</v>
          </cell>
          <cell r="G3255" t="str">
            <v>FRANCE</v>
          </cell>
          <cell r="H3255">
            <v>4</v>
          </cell>
        </row>
        <row r="3256">
          <cell r="B3256" t="str">
            <v>43496EUR6</v>
          </cell>
          <cell r="C3256" t="str">
            <v>43496GERMANY</v>
          </cell>
          <cell r="D3256" t="str">
            <v>EUR6</v>
          </cell>
          <cell r="E3256">
            <v>4.0981112474149075</v>
          </cell>
          <cell r="F3256">
            <v>0</v>
          </cell>
          <cell r="G3256" t="str">
            <v>GERMANY</v>
          </cell>
          <cell r="H3256">
            <v>4.2353413943730231</v>
          </cell>
        </row>
        <row r="3257">
          <cell r="B3257" t="str">
            <v>43496EUR7</v>
          </cell>
          <cell r="C3257" t="str">
            <v>43496GREECE</v>
          </cell>
          <cell r="D3257" t="str">
            <v>EUR7</v>
          </cell>
          <cell r="E3257">
            <v>4.0981112474149075</v>
          </cell>
          <cell r="F3257">
            <v>0</v>
          </cell>
          <cell r="G3257" t="str">
            <v>GREECE</v>
          </cell>
          <cell r="H3257">
            <v>7</v>
          </cell>
        </row>
        <row r="3258">
          <cell r="B3258" t="str">
            <v>43496EUR8</v>
          </cell>
          <cell r="C3258" t="str">
            <v>43496IRELAND</v>
          </cell>
          <cell r="D3258" t="str">
            <v>EUR8</v>
          </cell>
          <cell r="E3258">
            <v>4.0981112474149075</v>
          </cell>
          <cell r="F3258">
            <v>0</v>
          </cell>
          <cell r="G3258" t="str">
            <v>IRELAND</v>
          </cell>
          <cell r="H3258">
            <v>4</v>
          </cell>
        </row>
        <row r="3259">
          <cell r="B3259" t="str">
            <v>43496EUR9</v>
          </cell>
          <cell r="C3259" t="str">
            <v>43496ITALY</v>
          </cell>
          <cell r="D3259" t="str">
            <v>EUR9</v>
          </cell>
          <cell r="E3259">
            <v>4.0981112474149075</v>
          </cell>
          <cell r="F3259">
            <v>0</v>
          </cell>
          <cell r="G3259" t="str">
            <v>ITALY</v>
          </cell>
          <cell r="H3259">
            <v>4.5</v>
          </cell>
        </row>
        <row r="3260">
          <cell r="B3260" t="str">
            <v>43496EUR10</v>
          </cell>
          <cell r="C3260" t="str">
            <v>43496LATVIA</v>
          </cell>
          <cell r="D3260" t="str">
            <v>EUR10</v>
          </cell>
          <cell r="E3260">
            <v>4.0981112474149075</v>
          </cell>
          <cell r="F3260">
            <v>0</v>
          </cell>
          <cell r="G3260" t="str">
            <v>LATVIA</v>
          </cell>
          <cell r="H3260">
            <v>6</v>
          </cell>
        </row>
        <row r="3261">
          <cell r="B3261" t="str">
            <v>43496EUR11</v>
          </cell>
          <cell r="C3261" t="str">
            <v>43496LUXEMBOURG</v>
          </cell>
          <cell r="D3261" t="str">
            <v>EUR11</v>
          </cell>
          <cell r="E3261">
            <v>4.0981112474149075</v>
          </cell>
          <cell r="F3261">
            <v>0</v>
          </cell>
          <cell r="G3261" t="str">
            <v>LUXEMBOURG</v>
          </cell>
          <cell r="H3261">
            <v>4</v>
          </cell>
        </row>
        <row r="3262">
          <cell r="B3262" t="str">
            <v>43496EUR12</v>
          </cell>
          <cell r="C3262" t="str">
            <v>43496MALTA</v>
          </cell>
          <cell r="D3262" t="str">
            <v>EUR12</v>
          </cell>
          <cell r="E3262">
            <v>4.0981112474149075</v>
          </cell>
          <cell r="F3262">
            <v>0</v>
          </cell>
          <cell r="G3262" t="str">
            <v>MALTA</v>
          </cell>
          <cell r="H3262">
            <v>4</v>
          </cell>
        </row>
        <row r="3263">
          <cell r="B3263" t="str">
            <v>43496EUR13</v>
          </cell>
          <cell r="C3263" t="str">
            <v>43496MONTENEGRO</v>
          </cell>
          <cell r="D3263" t="str">
            <v>EUR13</v>
          </cell>
          <cell r="E3263">
            <v>4.0981112474149075</v>
          </cell>
          <cell r="F3263">
            <v>0</v>
          </cell>
          <cell r="G3263" t="str">
            <v>MONTENEGRO</v>
          </cell>
          <cell r="H3263">
            <v>6</v>
          </cell>
        </row>
        <row r="3264">
          <cell r="B3264" t="str">
            <v>43496EUR14</v>
          </cell>
          <cell r="C3264" t="str">
            <v>43496NETHERLANDS</v>
          </cell>
          <cell r="D3264" t="str">
            <v>EUR14</v>
          </cell>
          <cell r="E3264">
            <v>4.0981112474149075</v>
          </cell>
          <cell r="F3264">
            <v>0</v>
          </cell>
          <cell r="G3264" t="str">
            <v>NETHERLANDS</v>
          </cell>
          <cell r="H3264">
            <v>4</v>
          </cell>
        </row>
        <row r="3265">
          <cell r="B3265" t="str">
            <v>43496EUR15</v>
          </cell>
          <cell r="C3265" t="str">
            <v>43496PORTUGAL</v>
          </cell>
          <cell r="D3265" t="str">
            <v>EUR15</v>
          </cell>
          <cell r="E3265">
            <v>4.0981112474149075</v>
          </cell>
          <cell r="F3265">
            <v>0</v>
          </cell>
          <cell r="G3265" t="str">
            <v>PORTUGAL</v>
          </cell>
          <cell r="H3265">
            <v>4</v>
          </cell>
        </row>
        <row r="3266">
          <cell r="B3266" t="str">
            <v>43496EUR16</v>
          </cell>
          <cell r="C3266" t="str">
            <v>43496SLOVAKIA</v>
          </cell>
          <cell r="D3266" t="str">
            <v>EUR16</v>
          </cell>
          <cell r="E3266">
            <v>4.0981112474149075</v>
          </cell>
          <cell r="F3266">
            <v>0</v>
          </cell>
          <cell r="G3266" t="str">
            <v>SLOVAKIA</v>
          </cell>
          <cell r="H3266">
            <v>5</v>
          </cell>
        </row>
        <row r="3267">
          <cell r="B3267" t="str">
            <v>43496EUR17</v>
          </cell>
          <cell r="C3267" t="str">
            <v>43496SLOVENIA</v>
          </cell>
          <cell r="D3267" t="str">
            <v>EUR17</v>
          </cell>
          <cell r="E3267">
            <v>4.0981112474149075</v>
          </cell>
          <cell r="F3267">
            <v>0</v>
          </cell>
          <cell r="G3267" t="str">
            <v>SLOVENIA</v>
          </cell>
          <cell r="H3267">
            <v>6</v>
          </cell>
        </row>
        <row r="3268">
          <cell r="B3268" t="str">
            <v>43496EUR18</v>
          </cell>
          <cell r="C3268" t="str">
            <v>43496SPAIN</v>
          </cell>
          <cell r="D3268" t="str">
            <v>EUR18</v>
          </cell>
          <cell r="E3268">
            <v>4.0981112474149075</v>
          </cell>
          <cell r="F3268">
            <v>0</v>
          </cell>
          <cell r="G3268" t="str">
            <v>SPAIN</v>
          </cell>
          <cell r="H3268">
            <v>4</v>
          </cell>
        </row>
        <row r="3269">
          <cell r="B3269" t="str">
            <v>43496EUR20</v>
          </cell>
          <cell r="C3269" t="str">
            <v>43496AUSTRIA</v>
          </cell>
          <cell r="D3269" t="str">
            <v>EUR20</v>
          </cell>
          <cell r="E3269">
            <v>4.0981112474149075</v>
          </cell>
          <cell r="F3269">
            <v>0</v>
          </cell>
          <cell r="G3269" t="str">
            <v>AUSTRIA</v>
          </cell>
          <cell r="H3269">
            <v>4</v>
          </cell>
        </row>
        <row r="3270">
          <cell r="B3270" t="str">
            <v>43496Eastern European Institutions</v>
          </cell>
          <cell r="C3270" t="str">
            <v>43496Eastern European Institutions</v>
          </cell>
          <cell r="D3270" t="str">
            <v>Eastern European Institutions</v>
          </cell>
          <cell r="E3270">
            <v>0</v>
          </cell>
          <cell r="G3270" t="str">
            <v>Eastern European Institutions</v>
          </cell>
          <cell r="H3270">
            <v>5</v>
          </cell>
        </row>
        <row r="3271">
          <cell r="B3271" t="str">
            <v>43524AED</v>
          </cell>
          <cell r="C3271" t="str">
            <v>43524U. A. E.</v>
          </cell>
          <cell r="D3271" t="str">
            <v>AED</v>
          </cell>
          <cell r="E3271">
            <v>4.5763881345327198</v>
          </cell>
          <cell r="F3271">
            <v>2.1716666666666664</v>
          </cell>
          <cell r="G3271" t="str">
            <v>U. A. E.</v>
          </cell>
          <cell r="H3271">
            <v>5</v>
          </cell>
        </row>
        <row r="3272">
          <cell r="B3272" t="str">
            <v>43524ARS</v>
          </cell>
          <cell r="C3272" t="str">
            <v>43524ARGENTINA</v>
          </cell>
          <cell r="D3272" t="str">
            <v>ARS</v>
          </cell>
          <cell r="E3272">
            <v>21.023310848088798</v>
          </cell>
          <cell r="F3272">
            <v>28.967166666666667</v>
          </cell>
          <cell r="G3272" t="str">
            <v>ARGENTINA</v>
          </cell>
          <cell r="H3272">
            <v>9</v>
          </cell>
        </row>
        <row r="3273">
          <cell r="B3273" t="str">
            <v>43524AUD</v>
          </cell>
          <cell r="C3273" t="str">
            <v>43524AUSTRALIA</v>
          </cell>
          <cell r="D3273" t="str">
            <v>AUD</v>
          </cell>
          <cell r="E3273">
            <v>4.6568915554525949</v>
          </cell>
          <cell r="F3273">
            <v>2.343</v>
          </cell>
          <cell r="G3273" t="str">
            <v>AUSTRALIA</v>
          </cell>
          <cell r="H3273">
            <v>3.3930106927246708</v>
          </cell>
        </row>
        <row r="3274">
          <cell r="B3274" t="str">
            <v>43524BDT</v>
          </cell>
          <cell r="C3274" t="str">
            <v>43524BANGLADESH</v>
          </cell>
          <cell r="D3274" t="str">
            <v>BDT</v>
          </cell>
          <cell r="E3274">
            <v>8.1624067144062931</v>
          </cell>
          <cell r="F3274">
            <v>6.1338333333333335</v>
          </cell>
          <cell r="G3274" t="str">
            <v>BANGLADESH</v>
          </cell>
          <cell r="H3274">
            <v>6</v>
          </cell>
        </row>
        <row r="3275">
          <cell r="B3275" t="str">
            <v>43524BRL</v>
          </cell>
          <cell r="C3275" t="str">
            <v>43524BRAZIL</v>
          </cell>
          <cell r="D3275" t="str">
            <v>BRL</v>
          </cell>
          <cell r="E3275">
            <v>6.229457530900099</v>
          </cell>
          <cell r="F3275">
            <v>4.1665000000000001</v>
          </cell>
          <cell r="G3275" t="str">
            <v>BRAZIL</v>
          </cell>
          <cell r="H3275">
            <v>7</v>
          </cell>
        </row>
        <row r="3276">
          <cell r="B3276" t="str">
            <v>43524BWP</v>
          </cell>
          <cell r="C3276" t="str">
            <v>43524BOTSWANA</v>
          </cell>
          <cell r="D3276" t="str">
            <v>BWP</v>
          </cell>
          <cell r="E3276">
            <v>6.114982354009272</v>
          </cell>
          <cell r="F3276">
            <v>3.8691666666666666</v>
          </cell>
          <cell r="G3276" t="str">
            <v>BOTSWANA</v>
          </cell>
          <cell r="H3276">
            <v>6</v>
          </cell>
        </row>
        <row r="3277">
          <cell r="B3277" t="str">
            <v>43524CAD</v>
          </cell>
          <cell r="C3277" t="str">
            <v>43524CANADA</v>
          </cell>
          <cell r="D3277" t="str">
            <v>CAD</v>
          </cell>
          <cell r="E3277">
            <v>4.4668369572793001</v>
          </cell>
          <cell r="F3277">
            <v>2.204333333333333</v>
          </cell>
          <cell r="G3277" t="str">
            <v>CANADA</v>
          </cell>
          <cell r="H3277">
            <v>4</v>
          </cell>
        </row>
        <row r="3278">
          <cell r="B3278" t="str">
            <v>43524CHF</v>
          </cell>
          <cell r="C3278" t="str">
            <v>43524SWITZERLAND</v>
          </cell>
          <cell r="D3278" t="str">
            <v>CHF</v>
          </cell>
          <cell r="E3278">
            <v>3.3385005739082132</v>
          </cell>
          <cell r="F3278">
            <v>1.3050000000000002</v>
          </cell>
          <cell r="G3278" t="str">
            <v>SWITZERLAND</v>
          </cell>
          <cell r="H3278">
            <v>4</v>
          </cell>
        </row>
        <row r="3279">
          <cell r="B3279" t="str">
            <v>43524CLP</v>
          </cell>
          <cell r="C3279" t="str">
            <v>43524CHILE</v>
          </cell>
          <cell r="D3279" t="str">
            <v>CLP</v>
          </cell>
          <cell r="E3279">
            <v>5.1477533377246845</v>
          </cell>
          <cell r="F3279">
            <v>3.0341666666666667</v>
          </cell>
          <cell r="G3279" t="str">
            <v>CHILE</v>
          </cell>
          <cell r="H3279">
            <v>5</v>
          </cell>
        </row>
        <row r="3280">
          <cell r="B3280" t="str">
            <v>43524CNY</v>
          </cell>
          <cell r="C3280" t="str">
            <v>43524CHINA</v>
          </cell>
          <cell r="D3280" t="str">
            <v>CNY</v>
          </cell>
          <cell r="E3280">
            <v>4.8340631291142557</v>
          </cell>
          <cell r="F3280">
            <v>2.4233333333333333</v>
          </cell>
          <cell r="G3280" t="str">
            <v>CHINA</v>
          </cell>
          <cell r="H3280">
            <v>5</v>
          </cell>
        </row>
        <row r="3281">
          <cell r="B3281" t="str">
            <v>43524COP</v>
          </cell>
          <cell r="C3281" t="str">
            <v>43524COLOMBIA</v>
          </cell>
          <cell r="D3281" t="str">
            <v>COP</v>
          </cell>
          <cell r="E3281">
            <v>5.3813071504420087</v>
          </cell>
          <cell r="F3281">
            <v>3.3033333333333337</v>
          </cell>
          <cell r="G3281" t="str">
            <v>COLOMBIA</v>
          </cell>
          <cell r="H3281">
            <v>5</v>
          </cell>
        </row>
        <row r="3282">
          <cell r="B3282" t="str">
            <v>43524CZK</v>
          </cell>
          <cell r="C3282" t="str">
            <v>43524CZECH REPUBLIC</v>
          </cell>
          <cell r="D3282" t="str">
            <v>CZK</v>
          </cell>
          <cell r="E3282">
            <v>4.3812732030118742</v>
          </cell>
          <cell r="F3282">
            <v>2.2691666666666666</v>
          </cell>
          <cell r="G3282" t="str">
            <v>CZECH REPUBLIC</v>
          </cell>
          <cell r="H3282">
            <v>5</v>
          </cell>
        </row>
        <row r="3283">
          <cell r="B3283" t="str">
            <v>43524DKK</v>
          </cell>
          <cell r="C3283" t="str">
            <v>43524DENMARK</v>
          </cell>
          <cell r="D3283" t="str">
            <v>DKK</v>
          </cell>
          <cell r="E3283">
            <v>4.0697167716395457</v>
          </cell>
          <cell r="F3283">
            <v>1.75</v>
          </cell>
          <cell r="G3283" t="str">
            <v>DENMARK</v>
          </cell>
          <cell r="H3283">
            <v>4</v>
          </cell>
        </row>
        <row r="3284">
          <cell r="B3284" t="str">
            <v>43524EGP</v>
          </cell>
          <cell r="C3284" t="str">
            <v>43524EGYPT</v>
          </cell>
          <cell r="D3284" t="str">
            <v>EGP</v>
          </cell>
          <cell r="E3284">
            <v>14.30394658352632</v>
          </cell>
          <cell r="F3284">
            <v>13.478333333333335</v>
          </cell>
          <cell r="G3284" t="str">
            <v>EGYPT</v>
          </cell>
          <cell r="H3284">
            <v>5</v>
          </cell>
        </row>
        <row r="3285">
          <cell r="B3285" t="str">
            <v>43524EUR</v>
          </cell>
          <cell r="D3285" t="str">
            <v>EUR</v>
          </cell>
          <cell r="E3285">
            <v>4.0981112474149075</v>
          </cell>
          <cell r="F3285">
            <v>1.7351666666666665</v>
          </cell>
          <cell r="H3285">
            <v>0</v>
          </cell>
        </row>
        <row r="3286">
          <cell r="B3286" t="str">
            <v>43524GBP</v>
          </cell>
          <cell r="C3286" t="str">
            <v>43524UNITED KINGDOM</v>
          </cell>
          <cell r="D3286" t="str">
            <v>GBP</v>
          </cell>
          <cell r="E3286">
            <v>4.387208065685714</v>
          </cell>
          <cell r="F3286">
            <v>2.1440000000000001</v>
          </cell>
          <cell r="G3286" t="str">
            <v>UNITED KINGDOM</v>
          </cell>
          <cell r="H3286">
            <v>4</v>
          </cell>
        </row>
        <row r="3287">
          <cell r="B3287" t="str">
            <v>43524GEL</v>
          </cell>
          <cell r="C3287" t="str">
            <v>43524GEORGIA</v>
          </cell>
          <cell r="D3287" t="str">
            <v>GEL</v>
          </cell>
          <cell r="E3287">
            <v>5.1499270413246458</v>
          </cell>
          <cell r="F3287">
            <v>2.7875000000000001</v>
          </cell>
          <cell r="G3287" t="str">
            <v>GEORGIA</v>
          </cell>
          <cell r="H3287">
            <v>6</v>
          </cell>
        </row>
        <row r="3288">
          <cell r="B3288" t="str">
            <v>43524HKD</v>
          </cell>
          <cell r="C3288" t="str">
            <v>43524HONG KONG</v>
          </cell>
          <cell r="D3288" t="str">
            <v>HKD</v>
          </cell>
          <cell r="E3288">
            <v>4.5499022481772657</v>
          </cell>
          <cell r="F3288">
            <v>2.1716666666666664</v>
          </cell>
          <cell r="G3288" t="str">
            <v>HONG KONG</v>
          </cell>
          <cell r="H3288">
            <v>4</v>
          </cell>
        </row>
        <row r="3289">
          <cell r="B3289" t="str">
            <v>43524GHS</v>
          </cell>
          <cell r="C3289" t="str">
            <v>43524GHANA</v>
          </cell>
          <cell r="D3289" t="str">
            <v>GHS</v>
          </cell>
          <cell r="E3289">
            <v>9.9381810217126265</v>
          </cell>
          <cell r="F3289">
            <v>8</v>
          </cell>
          <cell r="G3289" t="str">
            <v>GHANA</v>
          </cell>
          <cell r="H3289">
            <v>6</v>
          </cell>
        </row>
        <row r="3290">
          <cell r="B3290" t="str">
            <v>43524HRK</v>
          </cell>
          <cell r="C3290" t="str">
            <v>43524CROATIA</v>
          </cell>
          <cell r="D3290" t="str">
            <v>HRK</v>
          </cell>
          <cell r="E3290">
            <v>3.8683343119309468</v>
          </cell>
          <cell r="F3290">
            <v>1.5</v>
          </cell>
          <cell r="G3290" t="str">
            <v>CROATIA</v>
          </cell>
          <cell r="H3290">
            <v>6</v>
          </cell>
        </row>
        <row r="3291">
          <cell r="B3291" t="str">
            <v>43524HUF</v>
          </cell>
          <cell r="C3291" t="str">
            <v>43524HUNGARY</v>
          </cell>
          <cell r="D3291" t="str">
            <v>HUF</v>
          </cell>
          <cell r="E3291">
            <v>5.238892729429482</v>
          </cell>
          <cell r="F3291">
            <v>3.2121666666666666</v>
          </cell>
          <cell r="G3291" t="str">
            <v>HUNGARY</v>
          </cell>
          <cell r="H3291">
            <v>5</v>
          </cell>
        </row>
        <row r="3292">
          <cell r="B3292" t="str">
            <v>43524IDR</v>
          </cell>
          <cell r="C3292" t="str">
            <v>43524INDONESIA</v>
          </cell>
          <cell r="D3292" t="str">
            <v>IDR</v>
          </cell>
          <cell r="E3292">
            <v>5.7431065369510517</v>
          </cell>
          <cell r="F3292">
            <v>3.8483333333333336</v>
          </cell>
          <cell r="G3292" t="str">
            <v>INDONESIA</v>
          </cell>
          <cell r="H3292">
            <v>5</v>
          </cell>
        </row>
        <row r="3293">
          <cell r="B3293" t="str">
            <v>43524ILS</v>
          </cell>
          <cell r="C3293" t="str">
            <v>43524ISRAEL</v>
          </cell>
          <cell r="D3293" t="str">
            <v>ILS</v>
          </cell>
          <cell r="E3293">
            <v>3.8436736991877476</v>
          </cell>
          <cell r="F3293">
            <v>1.3941666666666668</v>
          </cell>
          <cell r="G3293" t="str">
            <v>ISRAEL</v>
          </cell>
          <cell r="H3293">
            <v>4</v>
          </cell>
        </row>
        <row r="3294">
          <cell r="B3294" t="str">
            <v>43524INR</v>
          </cell>
          <cell r="C3294" t="str">
            <v>43524INDIA</v>
          </cell>
          <cell r="D3294" t="str">
            <v>INR</v>
          </cell>
          <cell r="E3294">
            <v>6.7575824416055177</v>
          </cell>
          <cell r="F3294">
            <v>4.8341666666666665</v>
          </cell>
          <cell r="G3294" t="str">
            <v>INDIA</v>
          </cell>
          <cell r="H3294">
            <v>5</v>
          </cell>
        </row>
        <row r="3295">
          <cell r="B3295" t="str">
            <v>43524IQD</v>
          </cell>
          <cell r="C3295" t="str">
            <v>43524IRAQ</v>
          </cell>
          <cell r="D3295" t="str">
            <v>IQD</v>
          </cell>
          <cell r="E3295">
            <v>4.2500000000000018</v>
          </cell>
          <cell r="F3295">
            <v>2</v>
          </cell>
          <cell r="G3295" t="str">
            <v>IRAQ</v>
          </cell>
          <cell r="H3295">
            <v>6</v>
          </cell>
        </row>
        <row r="3296">
          <cell r="B3296" t="str">
            <v>43524JPY</v>
          </cell>
          <cell r="C3296" t="str">
            <v>43524JAPAN</v>
          </cell>
          <cell r="D3296" t="str">
            <v>JPY</v>
          </cell>
          <cell r="E3296">
            <v>3.5355980547647361</v>
          </cell>
          <cell r="F3296">
            <v>1.3716666666666666</v>
          </cell>
          <cell r="G3296" t="str">
            <v>JAPAN</v>
          </cell>
          <cell r="H3296">
            <v>4</v>
          </cell>
        </row>
        <row r="3297">
          <cell r="B3297" t="str">
            <v>43524KES</v>
          </cell>
          <cell r="C3297" t="str">
            <v>43524KENYA</v>
          </cell>
          <cell r="D3297" t="str">
            <v>KES</v>
          </cell>
          <cell r="E3297">
            <v>7.3743505678601364</v>
          </cell>
          <cell r="F3297">
            <v>5.4849999999999994</v>
          </cell>
          <cell r="G3297" t="str">
            <v>KENYA</v>
          </cell>
          <cell r="H3297">
            <v>7.5</v>
          </cell>
        </row>
        <row r="3298">
          <cell r="B3298" t="str">
            <v>43524JOD</v>
          </cell>
          <cell r="C3298" t="str">
            <v>43524JORDAN</v>
          </cell>
          <cell r="D3298" t="str">
            <v>JOD</v>
          </cell>
          <cell r="E3298">
            <v>5.0590495695116235</v>
          </cell>
          <cell r="F3298">
            <v>2.1716666666666664</v>
          </cell>
          <cell r="G3298" t="str">
            <v>JORDAN</v>
          </cell>
          <cell r="H3298">
            <v>6</v>
          </cell>
        </row>
        <row r="3299">
          <cell r="B3299" t="str">
            <v>43524KHR</v>
          </cell>
          <cell r="C3299" t="str">
            <v>43524CAMBODIA</v>
          </cell>
          <cell r="D3299" t="str">
            <v>KHR</v>
          </cell>
          <cell r="E3299">
            <v>5.430331943699799</v>
          </cell>
          <cell r="F3299">
            <v>3.2681666666666667</v>
          </cell>
          <cell r="G3299" t="str">
            <v>CAMBODIA</v>
          </cell>
          <cell r="H3299">
            <v>6</v>
          </cell>
        </row>
        <row r="3300">
          <cell r="B3300" t="str">
            <v>43524KRW</v>
          </cell>
          <cell r="C3300" t="str">
            <v>43524KOREA SOUTH(REPUBLIC OF KOREA)</v>
          </cell>
          <cell r="D3300" t="str">
            <v>KRW</v>
          </cell>
          <cell r="E3300">
            <v>4.0999905930975169</v>
          </cell>
          <cell r="F3300">
            <v>1.8125</v>
          </cell>
          <cell r="G3300" t="str">
            <v>KOREA SOUTH(REPUBLIC OF KOREA)</v>
          </cell>
          <cell r="H3300">
            <v>5</v>
          </cell>
        </row>
        <row r="3301">
          <cell r="B3301" t="str">
            <v>43524KWD</v>
          </cell>
          <cell r="C3301" t="str">
            <v>43524KUWAIT</v>
          </cell>
          <cell r="D3301" t="str">
            <v>KWD</v>
          </cell>
          <cell r="E3301">
            <v>4.9053364266628243</v>
          </cell>
          <cell r="F3301">
            <v>3.1</v>
          </cell>
          <cell r="G3301" t="str">
            <v>KUWAIT</v>
          </cell>
          <cell r="H3301">
            <v>6</v>
          </cell>
        </row>
        <row r="3302">
          <cell r="B3302" t="str">
            <v>43524LKR</v>
          </cell>
          <cell r="C3302" t="str">
            <v>43524SRI LANKA</v>
          </cell>
          <cell r="D3302" t="str">
            <v>LKR</v>
          </cell>
          <cell r="E3302">
            <v>7.0997856885606039</v>
          </cell>
          <cell r="F3302">
            <v>4.7666666666666666</v>
          </cell>
          <cell r="G3302" t="str">
            <v>SRI LANKA</v>
          </cell>
          <cell r="H3302">
            <v>6</v>
          </cell>
        </row>
        <row r="3303">
          <cell r="B3303" t="str">
            <v>43524KZT</v>
          </cell>
          <cell r="C3303" t="str">
            <v>43524KAZAKHSTAN</v>
          </cell>
          <cell r="D3303" t="str">
            <v>KZT</v>
          </cell>
          <cell r="E3303">
            <v>7.1643899804527713</v>
          </cell>
          <cell r="F3303">
            <v>5.4106666666666667</v>
          </cell>
          <cell r="G3303" t="str">
            <v>KAZAKHSTAN</v>
          </cell>
          <cell r="H3303">
            <v>6</v>
          </cell>
        </row>
        <row r="3304">
          <cell r="B3304" t="str">
            <v>43524MAD</v>
          </cell>
          <cell r="C3304" t="str">
            <v>43524MOROCCO</v>
          </cell>
          <cell r="D3304" t="str">
            <v>MAD</v>
          </cell>
          <cell r="E3304">
            <v>4.2094972584157544</v>
          </cell>
          <cell r="F3304">
            <v>1.5</v>
          </cell>
          <cell r="G3304" t="str">
            <v>MOROCCO</v>
          </cell>
          <cell r="H3304">
            <v>6</v>
          </cell>
        </row>
        <row r="3305">
          <cell r="B3305" t="str">
            <v>43524MXN</v>
          </cell>
          <cell r="C3305" t="str">
            <v>43524MEXICO</v>
          </cell>
          <cell r="D3305" t="str">
            <v>MXN</v>
          </cell>
          <cell r="E3305">
            <v>5.7263348984777842</v>
          </cell>
          <cell r="F3305">
            <v>3.5165000000000002</v>
          </cell>
          <cell r="G3305" t="str">
            <v>MEXICO</v>
          </cell>
          <cell r="H3305">
            <v>7</v>
          </cell>
        </row>
        <row r="3306">
          <cell r="B3306" t="str">
            <v>43524MYR</v>
          </cell>
          <cell r="C3306" t="str">
            <v>43524MALAYSIA</v>
          </cell>
          <cell r="D3306" t="str">
            <v>MYR</v>
          </cell>
          <cell r="E3306">
            <v>4.4011107220461678</v>
          </cell>
          <cell r="F3306">
            <v>2.3346666666666667</v>
          </cell>
          <cell r="G3306" t="str">
            <v>MALAYSIA</v>
          </cell>
          <cell r="H3306">
            <v>5.5</v>
          </cell>
        </row>
        <row r="3307">
          <cell r="B3307" t="str">
            <v>43524NGN</v>
          </cell>
          <cell r="C3307" t="str">
            <v>43524NIGERIA</v>
          </cell>
          <cell r="D3307" t="str">
            <v>NGN</v>
          </cell>
          <cell r="E3307">
            <v>15.777511345173515</v>
          </cell>
          <cell r="F3307">
            <v>13.412166666666666</v>
          </cell>
          <cell r="G3307" t="str">
            <v>NIGERIA</v>
          </cell>
          <cell r="H3307">
            <v>6</v>
          </cell>
        </row>
        <row r="3308">
          <cell r="B3308" t="str">
            <v>43524NOK</v>
          </cell>
          <cell r="C3308" t="str">
            <v>43524NORWAY</v>
          </cell>
          <cell r="D3308" t="str">
            <v>NOK</v>
          </cell>
          <cell r="E3308">
            <v>4.2299921522459796</v>
          </cell>
          <cell r="F3308">
            <v>2</v>
          </cell>
          <cell r="G3308" t="str">
            <v>NORWAY</v>
          </cell>
          <cell r="H3308">
            <v>4</v>
          </cell>
        </row>
        <row r="3309">
          <cell r="B3309" t="str">
            <v>43524NZD</v>
          </cell>
          <cell r="C3309" t="str">
            <v>43524NEW ZEALAND</v>
          </cell>
          <cell r="D3309" t="str">
            <v>NZD</v>
          </cell>
          <cell r="E3309">
            <v>4.0657268075408517</v>
          </cell>
          <cell r="F3309">
            <v>1.7481666666666666</v>
          </cell>
          <cell r="G3309" t="str">
            <v>NEW ZEALAND</v>
          </cell>
          <cell r="H3309">
            <v>4</v>
          </cell>
        </row>
        <row r="3310">
          <cell r="B3310" t="str">
            <v>43524OMR</v>
          </cell>
          <cell r="C3310" t="str">
            <v>43524OMAN</v>
          </cell>
          <cell r="D3310" t="str">
            <v>OMR</v>
          </cell>
          <cell r="E3310">
            <v>5.0877186405923904</v>
          </cell>
          <cell r="F3310">
            <v>2.1716666666666664</v>
          </cell>
          <cell r="G3310" t="str">
            <v>OMAN</v>
          </cell>
          <cell r="H3310">
            <v>6</v>
          </cell>
        </row>
        <row r="3311">
          <cell r="B3311" t="str">
            <v>43524PEN</v>
          </cell>
          <cell r="C3311" t="str">
            <v>43524PERU</v>
          </cell>
          <cell r="D3311" t="str">
            <v>PEN</v>
          </cell>
          <cell r="E3311">
            <v>4.1289134004498331</v>
          </cell>
          <cell r="F3311">
            <v>2.0128333333333335</v>
          </cell>
          <cell r="G3311" t="str">
            <v>PERU</v>
          </cell>
          <cell r="H3311">
            <v>5</v>
          </cell>
        </row>
        <row r="3312">
          <cell r="B3312" t="str">
            <v>43524PGK</v>
          </cell>
          <cell r="C3312" t="str">
            <v>43524PAPUA NEW GUINEA</v>
          </cell>
          <cell r="D3312" t="str">
            <v>PGK</v>
          </cell>
          <cell r="E3312">
            <v>6.1404805572603784</v>
          </cell>
          <cell r="F3312">
            <v>3.7936666666666667</v>
          </cell>
          <cell r="G3312" t="str">
            <v>PAPUA NEW GUINEA</v>
          </cell>
          <cell r="H3312">
            <v>6</v>
          </cell>
        </row>
        <row r="3313">
          <cell r="B3313" t="str">
            <v>43524PHP</v>
          </cell>
          <cell r="C3313" t="str">
            <v>43524PHILIPPINES</v>
          </cell>
          <cell r="D3313" t="str">
            <v>PHP</v>
          </cell>
          <cell r="E3313">
            <v>5.9210541921415984</v>
          </cell>
          <cell r="F3313">
            <v>3.8881666666666668</v>
          </cell>
          <cell r="G3313" t="str">
            <v>PHILIPPINES</v>
          </cell>
          <cell r="H3313">
            <v>5</v>
          </cell>
        </row>
        <row r="3314">
          <cell r="B3314" t="str">
            <v>43524PKR</v>
          </cell>
          <cell r="C3314" t="str">
            <v>43524PAKISTAN</v>
          </cell>
          <cell r="D3314" t="str">
            <v>PKR</v>
          </cell>
          <cell r="E3314">
            <v>7.8170271879906696</v>
          </cell>
          <cell r="F3314">
            <v>7.3085000000000004</v>
          </cell>
          <cell r="G3314" t="str">
            <v>PAKISTAN</v>
          </cell>
          <cell r="H3314">
            <v>6</v>
          </cell>
        </row>
        <row r="3315">
          <cell r="B3315" t="str">
            <v>43524PLN</v>
          </cell>
          <cell r="C3315" t="str">
            <v>43524POLAND</v>
          </cell>
          <cell r="D3315" t="str">
            <v>PLN</v>
          </cell>
          <cell r="E3315">
            <v>4.7136441877784465</v>
          </cell>
          <cell r="F3315">
            <v>2.7758333333333329</v>
          </cell>
          <cell r="G3315" t="str">
            <v>POLAND</v>
          </cell>
          <cell r="H3315">
            <v>4.5</v>
          </cell>
        </row>
        <row r="3316">
          <cell r="B3316" t="str">
            <v>43524QAR</v>
          </cell>
          <cell r="C3316" t="str">
            <v>43524QATAR</v>
          </cell>
          <cell r="D3316" t="str">
            <v>QAR</v>
          </cell>
          <cell r="E3316">
            <v>4.9628101214862976</v>
          </cell>
          <cell r="F3316">
            <v>2.1716666666666664</v>
          </cell>
          <cell r="G3316" t="str">
            <v>QATAR</v>
          </cell>
          <cell r="H3316">
            <v>5</v>
          </cell>
        </row>
        <row r="3317">
          <cell r="B3317" t="str">
            <v>43524RON</v>
          </cell>
          <cell r="C3317" t="str">
            <v>43524ROMANIA</v>
          </cell>
          <cell r="D3317" t="str">
            <v>RON</v>
          </cell>
          <cell r="E3317">
            <v>5.3010586188400302</v>
          </cell>
          <cell r="F3317">
            <v>2.7023333333333333</v>
          </cell>
          <cell r="G3317" t="str">
            <v>ROMANIA</v>
          </cell>
          <cell r="H3317">
            <v>6</v>
          </cell>
        </row>
        <row r="3318">
          <cell r="B3318" t="str">
            <v>43524RUB</v>
          </cell>
          <cell r="C3318" t="str">
            <v>43524RUSSIAN FEDERATION</v>
          </cell>
          <cell r="D3318" t="str">
            <v>RUB</v>
          </cell>
          <cell r="E3318">
            <v>6.7095097565928388</v>
          </cell>
          <cell r="F3318">
            <v>5.04</v>
          </cell>
          <cell r="G3318" t="str">
            <v>RUSSIAN FEDERATION</v>
          </cell>
          <cell r="H3318">
            <v>8.5</v>
          </cell>
        </row>
        <row r="3319">
          <cell r="B3319" t="str">
            <v>43524SAR</v>
          </cell>
          <cell r="C3319" t="str">
            <v>43524SAUDI ARABIA</v>
          </cell>
          <cell r="D3319" t="str">
            <v>SAR</v>
          </cell>
          <cell r="E3319">
            <v>4.4878122874579631</v>
          </cell>
          <cell r="F3319">
            <v>2.1716666666666664</v>
          </cell>
          <cell r="G3319" t="str">
            <v>SAUDI ARABIA</v>
          </cell>
          <cell r="H3319">
            <v>5</v>
          </cell>
        </row>
        <row r="3320">
          <cell r="B3320" t="str">
            <v>43524SEK</v>
          </cell>
          <cell r="C3320" t="str">
            <v>43524SWEDEN</v>
          </cell>
          <cell r="D3320" t="str">
            <v>SEK</v>
          </cell>
          <cell r="E3320">
            <v>4.1247604879620905</v>
          </cell>
          <cell r="F3320">
            <v>1.7575000000000003</v>
          </cell>
          <cell r="G3320" t="str">
            <v>SWEDEN</v>
          </cell>
          <cell r="H3320">
            <v>4</v>
          </cell>
        </row>
        <row r="3321">
          <cell r="B3321" t="str">
            <v>43524SGD</v>
          </cell>
          <cell r="C3321" t="str">
            <v>43524SINGAPORE</v>
          </cell>
          <cell r="D3321" t="str">
            <v>SGD</v>
          </cell>
          <cell r="E3321">
            <v>3.5499026973653516</v>
          </cell>
          <cell r="F3321">
            <v>1.3841666666666668</v>
          </cell>
          <cell r="G3321" t="str">
            <v>SINGAPORE</v>
          </cell>
          <cell r="H3321">
            <v>4</v>
          </cell>
        </row>
        <row r="3322">
          <cell r="B3322" t="str">
            <v>43524TZS</v>
          </cell>
          <cell r="C3322" t="str">
            <v>43524TANZANIA, UNITED REPUBLIC OF</v>
          </cell>
          <cell r="D3322" t="str">
            <v>TZS</v>
          </cell>
          <cell r="E3322">
            <v>6.9391594893653687</v>
          </cell>
          <cell r="F3322">
            <v>4.7108333333333325</v>
          </cell>
          <cell r="G3322" t="str">
            <v>TANZANIA, UNITED REPUBLIC OF</v>
          </cell>
          <cell r="H3322">
            <v>6</v>
          </cell>
        </row>
        <row r="3323">
          <cell r="B3323" t="str">
            <v>43524THB</v>
          </cell>
          <cell r="C3323" t="str">
            <v>43524THAILAND</v>
          </cell>
          <cell r="D3323" t="str">
            <v>THB</v>
          </cell>
          <cell r="E3323">
            <v>3.4762411322035538</v>
          </cell>
          <cell r="F3323">
            <v>0.94666666666666666</v>
          </cell>
          <cell r="G3323" t="str">
            <v>THAILAND</v>
          </cell>
          <cell r="H3323">
            <v>5.0736615651617978</v>
          </cell>
        </row>
        <row r="3324">
          <cell r="B3324" t="str">
            <v>43524TRY</v>
          </cell>
          <cell r="C3324" t="str">
            <v>43524TURKEY</v>
          </cell>
          <cell r="D3324" t="str">
            <v>TRY</v>
          </cell>
          <cell r="E3324">
            <v>17.384793748168352</v>
          </cell>
          <cell r="F3324">
            <v>16.666666666666664</v>
          </cell>
          <cell r="G3324" t="str">
            <v>TURKEY</v>
          </cell>
          <cell r="H3324">
            <v>6</v>
          </cell>
        </row>
        <row r="3325">
          <cell r="B3325" t="str">
            <v>43524TWD</v>
          </cell>
          <cell r="C3325" t="str">
            <v>43524TAIWAN</v>
          </cell>
          <cell r="D3325" t="str">
            <v>TWD</v>
          </cell>
          <cell r="E3325">
            <v>3.8497638176941109</v>
          </cell>
          <cell r="F3325">
            <v>1.3333333333333333</v>
          </cell>
          <cell r="G3325" t="str">
            <v>TAIWAN</v>
          </cell>
          <cell r="H3325">
            <v>5</v>
          </cell>
        </row>
        <row r="3326">
          <cell r="B3326" t="str">
            <v>43524UAH</v>
          </cell>
          <cell r="C3326" t="str">
            <v>43524UKRAINE</v>
          </cell>
          <cell r="D3326" t="str">
            <v>UAH</v>
          </cell>
          <cell r="E3326">
            <v>9.3152109550107145</v>
          </cell>
          <cell r="F3326">
            <v>7.1023333333333332</v>
          </cell>
          <cell r="G3326" t="str">
            <v>UKRAINE</v>
          </cell>
          <cell r="H3326">
            <v>6</v>
          </cell>
        </row>
        <row r="3327">
          <cell r="B3327" t="str">
            <v>43524USD</v>
          </cell>
          <cell r="C3327" t="str">
            <v>43524UNITED STATES</v>
          </cell>
          <cell r="D3327" t="str">
            <v>USD</v>
          </cell>
          <cell r="E3327">
            <v>4.4921558120841345</v>
          </cell>
          <cell r="F3327">
            <v>2.1716666666666664</v>
          </cell>
          <cell r="G3327" t="str">
            <v>UNITED STATES</v>
          </cell>
          <cell r="H3327">
            <v>4</v>
          </cell>
        </row>
        <row r="3328">
          <cell r="B3328" t="str">
            <v>43524VND</v>
          </cell>
          <cell r="C3328" t="str">
            <v>43524VIET NAM</v>
          </cell>
          <cell r="D3328" t="str">
            <v>VND</v>
          </cell>
          <cell r="E3328">
            <v>6.2099691952184157</v>
          </cell>
          <cell r="F3328">
            <v>4</v>
          </cell>
          <cell r="G3328" t="str">
            <v>VIET NAM</v>
          </cell>
          <cell r="H3328">
            <v>6</v>
          </cell>
        </row>
        <row r="3329">
          <cell r="B3329" t="str">
            <v>43524XOF</v>
          </cell>
          <cell r="C3329" t="str">
            <v>43524MALI</v>
          </cell>
          <cell r="D3329" t="str">
            <v>XOF</v>
          </cell>
          <cell r="E3329">
            <v>4.4743112183310432</v>
          </cell>
          <cell r="F3329">
            <v>2.0874999999999999</v>
          </cell>
          <cell r="G3329" t="str">
            <v>MALI</v>
          </cell>
          <cell r="H3329">
            <v>6</v>
          </cell>
        </row>
        <row r="3330">
          <cell r="B3330" t="str">
            <v>43524ZAR</v>
          </cell>
          <cell r="C3330" t="str">
            <v>43524SOUTH AFRICA</v>
          </cell>
          <cell r="D3330" t="str">
            <v>ZAR</v>
          </cell>
          <cell r="E3330">
            <v>7.5348592534675554</v>
          </cell>
          <cell r="F3330">
            <v>5.2851666666666661</v>
          </cell>
          <cell r="G3330" t="str">
            <v>SOUTH AFRICA</v>
          </cell>
          <cell r="H3330">
            <v>5</v>
          </cell>
        </row>
        <row r="3331">
          <cell r="B3331" t="str">
            <v>43524ZMW</v>
          </cell>
          <cell r="C3331" t="str">
            <v>43524ZAMBIA</v>
          </cell>
          <cell r="D3331" t="str">
            <v>ZMW</v>
          </cell>
          <cell r="E3331">
            <v>10.398419746027269</v>
          </cell>
          <cell r="F3331">
            <v>8.2083333333333339</v>
          </cell>
          <cell r="G3331" t="str">
            <v>ZAMBIA</v>
          </cell>
          <cell r="H3331">
            <v>6</v>
          </cell>
        </row>
        <row r="3332">
          <cell r="B3332" t="str">
            <v>43524EUR1</v>
          </cell>
          <cell r="C3332" t="str">
            <v>43524BELGIUM</v>
          </cell>
          <cell r="D3332" t="str">
            <v>EUR1</v>
          </cell>
          <cell r="E3332">
            <v>4.0981112474149075</v>
          </cell>
          <cell r="F3332">
            <v>0</v>
          </cell>
          <cell r="G3332" t="str">
            <v>BELGIUM</v>
          </cell>
          <cell r="H3332">
            <v>4</v>
          </cell>
        </row>
        <row r="3333">
          <cell r="B3333" t="str">
            <v>43524EUR2</v>
          </cell>
          <cell r="C3333" t="str">
            <v>43524CYPRUS</v>
          </cell>
          <cell r="D3333" t="str">
            <v>EUR2</v>
          </cell>
          <cell r="E3333">
            <v>4.0981112474149075</v>
          </cell>
          <cell r="F3333">
            <v>0</v>
          </cell>
          <cell r="G3333" t="str">
            <v>CYPRUS</v>
          </cell>
          <cell r="H3333">
            <v>5</v>
          </cell>
        </row>
        <row r="3334">
          <cell r="B3334" t="str">
            <v>43524EUR3</v>
          </cell>
          <cell r="C3334" t="str">
            <v>43524ESTONIA</v>
          </cell>
          <cell r="D3334" t="str">
            <v>EUR3</v>
          </cell>
          <cell r="E3334">
            <v>4.0981112474149075</v>
          </cell>
          <cell r="F3334">
            <v>0</v>
          </cell>
          <cell r="G3334" t="str">
            <v>ESTONIA</v>
          </cell>
          <cell r="H3334">
            <v>6</v>
          </cell>
        </row>
        <row r="3335">
          <cell r="B3335" t="str">
            <v>43524EUR4</v>
          </cell>
          <cell r="C3335" t="str">
            <v>43524FINLAND</v>
          </cell>
          <cell r="D3335" t="str">
            <v>EUR4</v>
          </cell>
          <cell r="E3335">
            <v>4.0981112474149075</v>
          </cell>
          <cell r="F3335">
            <v>0</v>
          </cell>
          <cell r="G3335" t="str">
            <v>FINLAND</v>
          </cell>
          <cell r="H3335">
            <v>4</v>
          </cell>
        </row>
        <row r="3336">
          <cell r="B3336" t="str">
            <v>43524EUR5</v>
          </cell>
          <cell r="C3336" t="str">
            <v>43524FRANCE</v>
          </cell>
          <cell r="D3336" t="str">
            <v>EUR5</v>
          </cell>
          <cell r="E3336">
            <v>4.0981112474149075</v>
          </cell>
          <cell r="F3336">
            <v>0</v>
          </cell>
          <cell r="G3336" t="str">
            <v>FRANCE</v>
          </cell>
          <cell r="H3336">
            <v>4</v>
          </cell>
        </row>
        <row r="3337">
          <cell r="B3337" t="str">
            <v>43524EUR6</v>
          </cell>
          <cell r="C3337" t="str">
            <v>43524GERMANY</v>
          </cell>
          <cell r="D3337" t="str">
            <v>EUR6</v>
          </cell>
          <cell r="E3337">
            <v>4.0981112474149075</v>
          </cell>
          <cell r="F3337">
            <v>0</v>
          </cell>
          <cell r="G3337" t="str">
            <v>GERMANY</v>
          </cell>
          <cell r="H3337">
            <v>4.2353413943730231</v>
          </cell>
        </row>
        <row r="3338">
          <cell r="B3338" t="str">
            <v>43524EUR7</v>
          </cell>
          <cell r="C3338" t="str">
            <v>43524GREECE</v>
          </cell>
          <cell r="D3338" t="str">
            <v>EUR7</v>
          </cell>
          <cell r="E3338">
            <v>4.0981112474149075</v>
          </cell>
          <cell r="F3338">
            <v>0</v>
          </cell>
          <cell r="G3338" t="str">
            <v>GREECE</v>
          </cell>
          <cell r="H3338">
            <v>7</v>
          </cell>
        </row>
        <row r="3339">
          <cell r="B3339" t="str">
            <v>43524EUR8</v>
          </cell>
          <cell r="C3339" t="str">
            <v>43524IRELAND</v>
          </cell>
          <cell r="D3339" t="str">
            <v>EUR8</v>
          </cell>
          <cell r="E3339">
            <v>4.0981112474149075</v>
          </cell>
          <cell r="F3339">
            <v>0</v>
          </cell>
          <cell r="G3339" t="str">
            <v>IRELAND</v>
          </cell>
          <cell r="H3339">
            <v>4</v>
          </cell>
        </row>
        <row r="3340">
          <cell r="B3340" t="str">
            <v>43524EUR9</v>
          </cell>
          <cell r="C3340" t="str">
            <v>43524ITALY</v>
          </cell>
          <cell r="D3340" t="str">
            <v>EUR9</v>
          </cell>
          <cell r="E3340">
            <v>4.0981112474149075</v>
          </cell>
          <cell r="F3340">
            <v>0</v>
          </cell>
          <cell r="G3340" t="str">
            <v>ITALY</v>
          </cell>
          <cell r="H3340">
            <v>4.5</v>
          </cell>
        </row>
        <row r="3341">
          <cell r="B3341" t="str">
            <v>43524EUR10</v>
          </cell>
          <cell r="C3341" t="str">
            <v>43524LATVIA</v>
          </cell>
          <cell r="D3341" t="str">
            <v>EUR10</v>
          </cell>
          <cell r="E3341">
            <v>4.0981112474149075</v>
          </cell>
          <cell r="F3341">
            <v>0</v>
          </cell>
          <cell r="G3341" t="str">
            <v>LATVIA</v>
          </cell>
          <cell r="H3341">
            <v>6</v>
          </cell>
        </row>
        <row r="3342">
          <cell r="B3342" t="str">
            <v>43524EUR11</v>
          </cell>
          <cell r="C3342" t="str">
            <v>43524LUXEMBOURG</v>
          </cell>
          <cell r="D3342" t="str">
            <v>EUR11</v>
          </cell>
          <cell r="E3342">
            <v>4.0981112474149075</v>
          </cell>
          <cell r="F3342">
            <v>0</v>
          </cell>
          <cell r="G3342" t="str">
            <v>LUXEMBOURG</v>
          </cell>
          <cell r="H3342">
            <v>4</v>
          </cell>
        </row>
        <row r="3343">
          <cell r="B3343" t="str">
            <v>43524EUR12</v>
          </cell>
          <cell r="C3343" t="str">
            <v>43524MALTA</v>
          </cell>
          <cell r="D3343" t="str">
            <v>EUR12</v>
          </cell>
          <cell r="E3343">
            <v>4.0981112474149075</v>
          </cell>
          <cell r="F3343">
            <v>0</v>
          </cell>
          <cell r="G3343" t="str">
            <v>MALTA</v>
          </cell>
          <cell r="H3343">
            <v>4</v>
          </cell>
        </row>
        <row r="3344">
          <cell r="B3344" t="str">
            <v>43524EUR13</v>
          </cell>
          <cell r="C3344" t="str">
            <v>43524MONTENEGRO</v>
          </cell>
          <cell r="D3344" t="str">
            <v>EUR13</v>
          </cell>
          <cell r="E3344">
            <v>4.0981112474149075</v>
          </cell>
          <cell r="F3344">
            <v>0</v>
          </cell>
          <cell r="G3344" t="str">
            <v>MONTENEGRO</v>
          </cell>
          <cell r="H3344">
            <v>6</v>
          </cell>
        </row>
        <row r="3345">
          <cell r="B3345" t="str">
            <v>43524EUR14</v>
          </cell>
          <cell r="C3345" t="str">
            <v>43524NETHERLANDS</v>
          </cell>
          <cell r="D3345" t="str">
            <v>EUR14</v>
          </cell>
          <cell r="E3345">
            <v>4.0981112474149075</v>
          </cell>
          <cell r="F3345">
            <v>0</v>
          </cell>
          <cell r="G3345" t="str">
            <v>NETHERLANDS</v>
          </cell>
          <cell r="H3345">
            <v>4</v>
          </cell>
        </row>
        <row r="3346">
          <cell r="B3346" t="str">
            <v>43524EUR15</v>
          </cell>
          <cell r="C3346" t="str">
            <v>43524PORTUGAL</v>
          </cell>
          <cell r="D3346" t="str">
            <v>EUR15</v>
          </cell>
          <cell r="E3346">
            <v>4.0981112474149075</v>
          </cell>
          <cell r="F3346">
            <v>0</v>
          </cell>
          <cell r="G3346" t="str">
            <v>PORTUGAL</v>
          </cell>
          <cell r="H3346">
            <v>4</v>
          </cell>
        </row>
        <row r="3347">
          <cell r="B3347" t="str">
            <v>43524EUR16</v>
          </cell>
          <cell r="C3347" t="str">
            <v>43524SLOVAKIA</v>
          </cell>
          <cell r="D3347" t="str">
            <v>EUR16</v>
          </cell>
          <cell r="E3347">
            <v>4.0981112474149075</v>
          </cell>
          <cell r="F3347">
            <v>0</v>
          </cell>
          <cell r="G3347" t="str">
            <v>SLOVAKIA</v>
          </cell>
          <cell r="H3347">
            <v>5</v>
          </cell>
        </row>
        <row r="3348">
          <cell r="B3348" t="str">
            <v>43524EUR17</v>
          </cell>
          <cell r="C3348" t="str">
            <v>43524SLOVENIA</v>
          </cell>
          <cell r="D3348" t="str">
            <v>EUR17</v>
          </cell>
          <cell r="E3348">
            <v>4.0981112474149075</v>
          </cell>
          <cell r="F3348">
            <v>0</v>
          </cell>
          <cell r="G3348" t="str">
            <v>SLOVENIA</v>
          </cell>
          <cell r="H3348">
            <v>6</v>
          </cell>
        </row>
        <row r="3349">
          <cell r="B3349" t="str">
            <v>43524EUR18</v>
          </cell>
          <cell r="C3349" t="str">
            <v>43524SPAIN</v>
          </cell>
          <cell r="D3349" t="str">
            <v>EUR18</v>
          </cell>
          <cell r="E3349">
            <v>4.0981112474149075</v>
          </cell>
          <cell r="F3349">
            <v>0</v>
          </cell>
          <cell r="G3349" t="str">
            <v>SPAIN</v>
          </cell>
          <cell r="H3349">
            <v>4</v>
          </cell>
        </row>
        <row r="3350">
          <cell r="B3350" t="str">
            <v>43524EUR20</v>
          </cell>
          <cell r="C3350" t="str">
            <v>43524AUSTRIA</v>
          </cell>
          <cell r="D3350" t="str">
            <v>EUR20</v>
          </cell>
          <cell r="E3350">
            <v>4.0981112474149075</v>
          </cell>
          <cell r="F3350">
            <v>0</v>
          </cell>
          <cell r="G3350" t="str">
            <v>AUSTRIA</v>
          </cell>
          <cell r="H3350">
            <v>4</v>
          </cell>
        </row>
        <row r="3351">
          <cell r="B3351" t="str">
            <v>43524Eastern European Institutions</v>
          </cell>
          <cell r="C3351" t="str">
            <v>43524Eastern European Institutions</v>
          </cell>
          <cell r="D3351" t="str">
            <v>Eastern European Institutions</v>
          </cell>
          <cell r="E3351">
            <v>0</v>
          </cell>
          <cell r="G3351" t="str">
            <v>Eastern European Institutions</v>
          </cell>
          <cell r="H3351">
            <v>5</v>
          </cell>
        </row>
        <row r="3352">
          <cell r="B3352" t="str">
            <v>43555AED</v>
          </cell>
          <cell r="C3352" t="str">
            <v>43555U. A. E.</v>
          </cell>
          <cell r="D3352" t="str">
            <v>AED</v>
          </cell>
          <cell r="E3352">
            <v>4.346796522070199</v>
          </cell>
          <cell r="F3352">
            <v>2.6174999999999997</v>
          </cell>
          <cell r="G3352" t="str">
            <v>U. A. E.</v>
          </cell>
          <cell r="H3352">
            <v>5</v>
          </cell>
        </row>
        <row r="3353">
          <cell r="B3353" t="str">
            <v>43555ARS</v>
          </cell>
          <cell r="C3353" t="str">
            <v>43555ARGENTINA</v>
          </cell>
          <cell r="D3353" t="str">
            <v>ARS</v>
          </cell>
          <cell r="E3353">
            <v>22.923999074959816</v>
          </cell>
          <cell r="F3353">
            <v>38.570750000000004</v>
          </cell>
          <cell r="G3353" t="str">
            <v>ARGENTINA</v>
          </cell>
          <cell r="H3353">
            <v>9</v>
          </cell>
        </row>
        <row r="3354">
          <cell r="B3354" t="str">
            <v>43555AUD</v>
          </cell>
          <cell r="C3354" t="str">
            <v>43555AUSTRALIA</v>
          </cell>
          <cell r="D3354" t="str">
            <v>AUD</v>
          </cell>
          <cell r="E3354">
            <v>4.6146082417236647</v>
          </cell>
          <cell r="F3354">
            <v>2.08</v>
          </cell>
          <cell r="G3354" t="str">
            <v>AUSTRALIA</v>
          </cell>
          <cell r="H3354">
            <v>3.5953800448637798</v>
          </cell>
        </row>
        <row r="3355">
          <cell r="B3355" t="str">
            <v>43555BDT</v>
          </cell>
          <cell r="C3355" t="str">
            <v>43555BANGLADESH</v>
          </cell>
          <cell r="D3355" t="str">
            <v>BDT</v>
          </cell>
          <cell r="E3355">
            <v>7.7073896020150947</v>
          </cell>
          <cell r="F3355">
            <v>5.3914999999999997</v>
          </cell>
          <cell r="G3355" t="str">
            <v>BANGLADESH</v>
          </cell>
          <cell r="H3355">
            <v>6</v>
          </cell>
        </row>
        <row r="3356">
          <cell r="B3356" t="str">
            <v>43555BRL</v>
          </cell>
          <cell r="C3356" t="str">
            <v>43555BRAZIL</v>
          </cell>
          <cell r="D3356" t="str">
            <v>BRL</v>
          </cell>
          <cell r="E3356">
            <v>6.1634453522755352</v>
          </cell>
          <cell r="F3356">
            <v>3.6894999999999998</v>
          </cell>
          <cell r="G3356" t="str">
            <v>BRAZIL</v>
          </cell>
          <cell r="H3356">
            <v>7</v>
          </cell>
        </row>
        <row r="3357">
          <cell r="B3357" t="str">
            <v>43555BWP</v>
          </cell>
          <cell r="C3357" t="str">
            <v>43555BOTSWANA</v>
          </cell>
          <cell r="D3357" t="str">
            <v>BWP</v>
          </cell>
          <cell r="E3357">
            <v>6.0931233614718563</v>
          </cell>
          <cell r="F3357">
            <v>3.6619999999999999</v>
          </cell>
          <cell r="G3357" t="str">
            <v>BOTSWANA</v>
          </cell>
          <cell r="H3357">
            <v>6</v>
          </cell>
        </row>
        <row r="3358">
          <cell r="B3358" t="str">
            <v>43555CAD</v>
          </cell>
          <cell r="C3358" t="str">
            <v>43555CANADA</v>
          </cell>
          <cell r="D3358" t="str">
            <v>CAD</v>
          </cell>
          <cell r="E3358">
            <v>4.2340610758947941</v>
          </cell>
          <cell r="F3358">
            <v>1.752</v>
          </cell>
          <cell r="G3358" t="str">
            <v>CANADA</v>
          </cell>
          <cell r="H3358">
            <v>4</v>
          </cell>
        </row>
        <row r="3359">
          <cell r="B3359" t="str">
            <v>43555CHF</v>
          </cell>
          <cell r="C3359" t="str">
            <v>43555SWITZERLAND</v>
          </cell>
          <cell r="D3359" t="str">
            <v>CHF</v>
          </cell>
          <cell r="E3359">
            <v>3.2033704435821244</v>
          </cell>
          <cell r="F3359">
            <v>0.85124999999999995</v>
          </cell>
          <cell r="G3359" t="str">
            <v>SWITZERLAND</v>
          </cell>
          <cell r="H3359">
            <v>4</v>
          </cell>
        </row>
        <row r="3360">
          <cell r="B3360" t="str">
            <v>43555CLP</v>
          </cell>
          <cell r="C3360" t="str">
            <v>43555CHILE</v>
          </cell>
          <cell r="D3360" t="str">
            <v>CLP</v>
          </cell>
          <cell r="E3360">
            <v>5.1110628904951918</v>
          </cell>
          <cell r="F3360">
            <v>2.4939999999999998</v>
          </cell>
          <cell r="G3360" t="str">
            <v>CHILE</v>
          </cell>
          <cell r="H3360">
            <v>5</v>
          </cell>
        </row>
        <row r="3361">
          <cell r="B3361" t="str">
            <v>43555CNY</v>
          </cell>
          <cell r="C3361" t="str">
            <v>43555CHINA</v>
          </cell>
          <cell r="D3361" t="str">
            <v>CNY</v>
          </cell>
          <cell r="E3361">
            <v>4.9466537683885461</v>
          </cell>
          <cell r="F3361">
            <v>2.3352499999999998</v>
          </cell>
          <cell r="G3361" t="str">
            <v>CHINA</v>
          </cell>
          <cell r="H3361">
            <v>5</v>
          </cell>
        </row>
        <row r="3362">
          <cell r="B3362" t="str">
            <v>43555COP</v>
          </cell>
          <cell r="C3362" t="str">
            <v>43555COLOMBIA</v>
          </cell>
          <cell r="D3362" t="str">
            <v>COP</v>
          </cell>
          <cell r="E3362">
            <v>5.3809269186441391</v>
          </cell>
          <cell r="F3362">
            <v>3.3092499999999996</v>
          </cell>
          <cell r="G3362" t="str">
            <v>COLOMBIA</v>
          </cell>
          <cell r="H3362">
            <v>5</v>
          </cell>
        </row>
        <row r="3363">
          <cell r="B3363" t="str">
            <v>43555CZK</v>
          </cell>
          <cell r="C3363" t="str">
            <v>43555CZECH REPUBLIC</v>
          </cell>
          <cell r="D3363" t="str">
            <v>CZK</v>
          </cell>
          <cell r="E3363">
            <v>4.3147178224534324</v>
          </cell>
          <cell r="F3363">
            <v>2.2429999999999994</v>
          </cell>
          <cell r="G3363" t="str">
            <v>CZECH REPUBLIC</v>
          </cell>
          <cell r="H3363">
            <v>5</v>
          </cell>
        </row>
        <row r="3364">
          <cell r="B3364" t="str">
            <v>43555DKK</v>
          </cell>
          <cell r="C3364" t="str">
            <v>43555DENMARK</v>
          </cell>
          <cell r="D3364" t="str">
            <v>DKK</v>
          </cell>
          <cell r="E3364">
            <v>3.7894761680130875</v>
          </cell>
          <cell r="F3364">
            <v>1.1500000000000001</v>
          </cell>
          <cell r="G3364" t="str">
            <v>DENMARK</v>
          </cell>
          <cell r="H3364">
            <v>4</v>
          </cell>
        </row>
        <row r="3365">
          <cell r="B3365" t="str">
            <v>43555EGP</v>
          </cell>
          <cell r="C3365" t="str">
            <v>43555EGYPT</v>
          </cell>
          <cell r="D3365" t="str">
            <v>EGP</v>
          </cell>
          <cell r="E3365">
            <v>11.994805698767722</v>
          </cell>
          <cell r="F3365">
            <v>13.962750000000002</v>
          </cell>
          <cell r="G3365" t="str">
            <v>EGYPT</v>
          </cell>
          <cell r="H3365">
            <v>5</v>
          </cell>
        </row>
        <row r="3366">
          <cell r="B3366" t="str">
            <v>43555EUR</v>
          </cell>
          <cell r="D3366" t="str">
            <v>EUR</v>
          </cell>
          <cell r="E3366">
            <v>3.9251525690515301</v>
          </cell>
          <cell r="F3366">
            <v>1.37425</v>
          </cell>
          <cell r="H3366">
            <v>0</v>
          </cell>
        </row>
        <row r="3367">
          <cell r="B3367" t="str">
            <v>43555GBP</v>
          </cell>
          <cell r="C3367" t="str">
            <v>43555UNITED KINGDOM</v>
          </cell>
          <cell r="D3367" t="str">
            <v>GBP</v>
          </cell>
          <cell r="E3367">
            <v>4.223177142787752</v>
          </cell>
          <cell r="F3367">
            <v>1.879</v>
          </cell>
          <cell r="G3367" t="str">
            <v>UNITED KINGDOM</v>
          </cell>
          <cell r="H3367">
            <v>4</v>
          </cell>
        </row>
        <row r="3368">
          <cell r="B3368" t="str">
            <v>43555GEL</v>
          </cell>
          <cell r="C3368" t="str">
            <v>43555GEORGIA</v>
          </cell>
          <cell r="D3368" t="str">
            <v>GEL</v>
          </cell>
          <cell r="E3368">
            <v>5.1568100533515828</v>
          </cell>
          <cell r="F3368">
            <v>2.6364999999999998</v>
          </cell>
          <cell r="G3368" t="str">
            <v>GEORGIA</v>
          </cell>
          <cell r="H3368">
            <v>6</v>
          </cell>
        </row>
        <row r="3369">
          <cell r="B3369" t="str">
            <v>43555HKD</v>
          </cell>
          <cell r="C3369" t="str">
            <v>43555HONG KONG</v>
          </cell>
          <cell r="D3369" t="str">
            <v>HKD</v>
          </cell>
          <cell r="E3369">
            <v>4.7099882865874445</v>
          </cell>
          <cell r="F3369">
            <v>2.6174999999999997</v>
          </cell>
          <cell r="G3369" t="str">
            <v>HONG KONG</v>
          </cell>
          <cell r="H3369">
            <v>4</v>
          </cell>
        </row>
        <row r="3370">
          <cell r="B3370" t="str">
            <v>43555GHS</v>
          </cell>
          <cell r="C3370" t="str">
            <v>43555GHANA</v>
          </cell>
          <cell r="D3370" t="str">
            <v>GHS</v>
          </cell>
          <cell r="E3370">
            <v>9.8298960073114365</v>
          </cell>
          <cell r="F3370">
            <v>8.8899999999999988</v>
          </cell>
          <cell r="G3370" t="str">
            <v>GHANA</v>
          </cell>
          <cell r="H3370">
            <v>6</v>
          </cell>
        </row>
        <row r="3371">
          <cell r="B3371" t="str">
            <v>43555HRK</v>
          </cell>
          <cell r="C3371" t="str">
            <v>43555CROATIA</v>
          </cell>
          <cell r="D3371" t="str">
            <v>HRK</v>
          </cell>
          <cell r="E3371">
            <v>3.9448913304420499</v>
          </cell>
          <cell r="F3371">
            <v>1.5062500000000001</v>
          </cell>
          <cell r="G3371" t="str">
            <v>CROATIA</v>
          </cell>
          <cell r="H3371">
            <v>6</v>
          </cell>
        </row>
        <row r="3372">
          <cell r="B3372" t="str">
            <v>43555HUF</v>
          </cell>
          <cell r="C3372" t="str">
            <v>43555HUNGARY</v>
          </cell>
          <cell r="D3372" t="str">
            <v>HUF</v>
          </cell>
          <cell r="E3372">
            <v>5.295753082330549</v>
          </cell>
          <cell r="F3372">
            <v>3.1875</v>
          </cell>
          <cell r="G3372" t="str">
            <v>HUNGARY</v>
          </cell>
          <cell r="H3372">
            <v>5</v>
          </cell>
        </row>
        <row r="3373">
          <cell r="B3373" t="str">
            <v>43555IDR</v>
          </cell>
          <cell r="C3373" t="str">
            <v>43555INDONESIA</v>
          </cell>
          <cell r="D3373" t="str">
            <v>IDR</v>
          </cell>
          <cell r="E3373">
            <v>5.5034015891384049</v>
          </cell>
          <cell r="F3373">
            <v>3.3965000000000001</v>
          </cell>
          <cell r="G3373" t="str">
            <v>INDONESIA</v>
          </cell>
          <cell r="H3373">
            <v>5</v>
          </cell>
        </row>
        <row r="3374">
          <cell r="B3374" t="str">
            <v>43555ILS</v>
          </cell>
          <cell r="C3374" t="str">
            <v>43555ISRAEL</v>
          </cell>
          <cell r="D3374" t="str">
            <v>ILS</v>
          </cell>
          <cell r="E3374">
            <v>3.9592815720316068</v>
          </cell>
          <cell r="F3374">
            <v>1.08175</v>
          </cell>
          <cell r="G3374" t="str">
            <v>ISRAEL</v>
          </cell>
          <cell r="H3374">
            <v>4</v>
          </cell>
        </row>
        <row r="3375">
          <cell r="B3375" t="str">
            <v>43555INR</v>
          </cell>
          <cell r="C3375" t="str">
            <v>43555INDIA</v>
          </cell>
          <cell r="D3375" t="str">
            <v>INR</v>
          </cell>
          <cell r="E3375">
            <v>6.3745142382841271</v>
          </cell>
          <cell r="F3375">
            <v>3.9727500000000004</v>
          </cell>
          <cell r="G3375" t="str">
            <v>INDIA</v>
          </cell>
          <cell r="H3375">
            <v>5</v>
          </cell>
        </row>
        <row r="3376">
          <cell r="B3376" t="str">
            <v>43555IQD</v>
          </cell>
          <cell r="C3376" t="str">
            <v>43555IRAQ</v>
          </cell>
          <cell r="D3376" t="str">
            <v>IQD</v>
          </cell>
          <cell r="E3376">
            <v>4.2500000000000018</v>
          </cell>
          <cell r="F3376">
            <v>2</v>
          </cell>
          <cell r="G3376" t="str">
            <v>IRAQ</v>
          </cell>
          <cell r="H3376">
            <v>6</v>
          </cell>
        </row>
        <row r="3377">
          <cell r="B3377" t="str">
            <v>43555JPY</v>
          </cell>
          <cell r="C3377" t="str">
            <v>43555JAPAN</v>
          </cell>
          <cell r="D3377" t="str">
            <v>JPY</v>
          </cell>
          <cell r="E3377">
            <v>3.5052595237571573</v>
          </cell>
          <cell r="F3377">
            <v>1.1859999999999999</v>
          </cell>
          <cell r="G3377" t="str">
            <v>JAPAN</v>
          </cell>
          <cell r="H3377">
            <v>4</v>
          </cell>
        </row>
        <row r="3378">
          <cell r="B3378" t="str">
            <v>43555KES</v>
          </cell>
          <cell r="C3378" t="str">
            <v>43555KENYA</v>
          </cell>
          <cell r="D3378" t="str">
            <v>KES</v>
          </cell>
          <cell r="E3378">
            <v>7.1305284338347965</v>
          </cell>
          <cell r="F3378">
            <v>4.552999999999999</v>
          </cell>
          <cell r="G3378" t="str">
            <v>KENYA</v>
          </cell>
          <cell r="H3378">
            <v>7.5</v>
          </cell>
        </row>
        <row r="3379">
          <cell r="B3379" t="str">
            <v>43555JOD</v>
          </cell>
          <cell r="C3379" t="str">
            <v>43555JORDAN</v>
          </cell>
          <cell r="D3379" t="str">
            <v>JOD</v>
          </cell>
          <cell r="E3379">
            <v>4.6634102286304859</v>
          </cell>
          <cell r="F3379">
            <v>2.6174999999999997</v>
          </cell>
          <cell r="G3379" t="str">
            <v>JORDAN</v>
          </cell>
          <cell r="H3379">
            <v>6</v>
          </cell>
        </row>
        <row r="3380">
          <cell r="B3380" t="str">
            <v>43555KHR</v>
          </cell>
          <cell r="C3380" t="str">
            <v>43555CAMBODIA</v>
          </cell>
          <cell r="D3380" t="str">
            <v>KHR</v>
          </cell>
          <cell r="E3380">
            <v>5.1178522888126778</v>
          </cell>
          <cell r="F3380">
            <v>2.6147499999999999</v>
          </cell>
          <cell r="G3380" t="str">
            <v>CAMBODIA</v>
          </cell>
          <cell r="H3380">
            <v>6</v>
          </cell>
        </row>
        <row r="3381">
          <cell r="B3381" t="str">
            <v>43555KRW</v>
          </cell>
          <cell r="C3381" t="str">
            <v>43555KOREA SOUTH(REPUBLIC OF KOREA)</v>
          </cell>
          <cell r="D3381" t="str">
            <v>KRW</v>
          </cell>
          <cell r="E3381">
            <v>3.9100165701703196</v>
          </cell>
          <cell r="F3381">
            <v>1.4007499999999999</v>
          </cell>
          <cell r="G3381" t="str">
            <v>KOREA SOUTH(REPUBLIC OF KOREA)</v>
          </cell>
          <cell r="H3381">
            <v>5</v>
          </cell>
        </row>
        <row r="3382">
          <cell r="B3382" t="str">
            <v>43555KWD</v>
          </cell>
          <cell r="C3382" t="str">
            <v>43555KUWAIT</v>
          </cell>
          <cell r="D3382" t="str">
            <v>KWD</v>
          </cell>
          <cell r="E3382">
            <v>5.6067280783844078</v>
          </cell>
          <cell r="F3382">
            <v>2.5500000000000003</v>
          </cell>
          <cell r="G3382" t="str">
            <v>KUWAIT</v>
          </cell>
          <cell r="H3382">
            <v>6</v>
          </cell>
        </row>
        <row r="3383">
          <cell r="B3383" t="str">
            <v>43555LKR</v>
          </cell>
          <cell r="C3383" t="str">
            <v>43555SRI LANKA</v>
          </cell>
          <cell r="D3383" t="str">
            <v>LKR</v>
          </cell>
          <cell r="E3383">
            <v>6.9598835116329063</v>
          </cell>
          <cell r="F3383">
            <v>4.5250000000000004</v>
          </cell>
          <cell r="G3383" t="str">
            <v>SRI LANKA</v>
          </cell>
          <cell r="H3383">
            <v>6</v>
          </cell>
        </row>
        <row r="3384">
          <cell r="B3384" t="str">
            <v>43555KZT</v>
          </cell>
          <cell r="C3384" t="str">
            <v>43555KAZAKHSTAN</v>
          </cell>
          <cell r="D3384" t="str">
            <v>KZT</v>
          </cell>
          <cell r="E3384">
            <v>6.8686921914282308</v>
          </cell>
          <cell r="F3384">
            <v>5.3414999999999999</v>
          </cell>
          <cell r="G3384" t="str">
            <v>KAZAKHSTAN</v>
          </cell>
          <cell r="H3384">
            <v>6</v>
          </cell>
        </row>
        <row r="3385">
          <cell r="B3385" t="str">
            <v>43555MAD</v>
          </cell>
          <cell r="C3385" t="str">
            <v>43555MOROCCO</v>
          </cell>
          <cell r="D3385" t="str">
            <v>MAD</v>
          </cell>
          <cell r="E3385">
            <v>4.1297166463972115</v>
          </cell>
          <cell r="F3385">
            <v>1.55</v>
          </cell>
          <cell r="G3385" t="str">
            <v>MOROCCO</v>
          </cell>
          <cell r="H3385">
            <v>6</v>
          </cell>
        </row>
        <row r="3386">
          <cell r="B3386" t="str">
            <v>43555MXN</v>
          </cell>
          <cell r="C3386" t="str">
            <v>43555MEXICO</v>
          </cell>
          <cell r="D3386" t="str">
            <v>MXN</v>
          </cell>
          <cell r="E3386">
            <v>5.4325212139813486</v>
          </cell>
          <cell r="F3386">
            <v>3.63225</v>
          </cell>
          <cell r="G3386" t="str">
            <v>MEXICO</v>
          </cell>
          <cell r="H3386">
            <v>7</v>
          </cell>
        </row>
        <row r="3387">
          <cell r="B3387" t="str">
            <v>43555MYR</v>
          </cell>
          <cell r="C3387" t="str">
            <v>43555MALAYSIA</v>
          </cell>
          <cell r="D3387" t="str">
            <v>MYR</v>
          </cell>
          <cell r="E3387">
            <v>4.607412777871537</v>
          </cell>
          <cell r="F3387">
            <v>2.1382500000000002</v>
          </cell>
          <cell r="G3387" t="str">
            <v>MALAYSIA</v>
          </cell>
          <cell r="H3387">
            <v>5</v>
          </cell>
        </row>
        <row r="3388">
          <cell r="B3388" t="str">
            <v>43555NGN</v>
          </cell>
          <cell r="C3388" t="str">
            <v>43555NIGERIA</v>
          </cell>
          <cell r="D3388" t="str">
            <v>NGN</v>
          </cell>
          <cell r="E3388">
            <v>13.705568126780701</v>
          </cell>
          <cell r="F3388">
            <v>11.70825</v>
          </cell>
          <cell r="G3388" t="str">
            <v>NIGERIA</v>
          </cell>
          <cell r="H3388">
            <v>6</v>
          </cell>
        </row>
        <row r="3389">
          <cell r="B3389" t="str">
            <v>43555NOK</v>
          </cell>
          <cell r="C3389" t="str">
            <v>43555NORWAY</v>
          </cell>
          <cell r="D3389" t="str">
            <v>NOK</v>
          </cell>
          <cell r="E3389">
            <v>4.1399391226501638</v>
          </cell>
          <cell r="F3389">
            <v>1.8499999999999999</v>
          </cell>
          <cell r="G3389" t="str">
            <v>NORWAY</v>
          </cell>
          <cell r="H3389">
            <v>4</v>
          </cell>
        </row>
        <row r="3390">
          <cell r="B3390" t="str">
            <v>43555NZD</v>
          </cell>
          <cell r="C3390" t="str">
            <v>43555NEW ZEALAND</v>
          </cell>
          <cell r="D3390" t="str">
            <v>NZD</v>
          </cell>
          <cell r="E3390">
            <v>4.2377944332597153</v>
          </cell>
          <cell r="F3390">
            <v>1.9509999999999998</v>
          </cell>
          <cell r="G3390" t="str">
            <v>NEW ZEALAND</v>
          </cell>
          <cell r="H3390">
            <v>4</v>
          </cell>
        </row>
        <row r="3391">
          <cell r="B3391" t="str">
            <v>43555OMR</v>
          </cell>
          <cell r="C3391" t="str">
            <v>43555OMAN</v>
          </cell>
          <cell r="D3391" t="str">
            <v>OMR</v>
          </cell>
          <cell r="E3391">
            <v>4.9061483258207952</v>
          </cell>
          <cell r="F3391">
            <v>2.6174999999999997</v>
          </cell>
          <cell r="G3391" t="str">
            <v>OMAN</v>
          </cell>
          <cell r="H3391">
            <v>6</v>
          </cell>
        </row>
        <row r="3392">
          <cell r="B3392" t="str">
            <v>43555PEN</v>
          </cell>
          <cell r="C3392" t="str">
            <v>43555PERU</v>
          </cell>
          <cell r="D3392" t="str">
            <v>PEN</v>
          </cell>
          <cell r="E3392">
            <v>4.3158710633359556</v>
          </cell>
          <cell r="F3392">
            <v>2.2912499999999998</v>
          </cell>
          <cell r="G3392" t="str">
            <v>PERU</v>
          </cell>
          <cell r="H3392">
            <v>5</v>
          </cell>
        </row>
        <row r="3393">
          <cell r="B3393" t="str">
            <v>43555PGK</v>
          </cell>
          <cell r="C3393" t="str">
            <v>43555PAPUA NEW GUINEA</v>
          </cell>
          <cell r="D3393" t="str">
            <v>PGK</v>
          </cell>
          <cell r="E3393">
            <v>6.7496934859149462</v>
          </cell>
          <cell r="F3393">
            <v>4.3999999999999995</v>
          </cell>
          <cell r="G3393" t="str">
            <v>PAPUA NEW GUINEA</v>
          </cell>
          <cell r="H3393">
            <v>6</v>
          </cell>
        </row>
        <row r="3394">
          <cell r="B3394" t="str">
            <v>43555PHP</v>
          </cell>
          <cell r="C3394" t="str">
            <v>43555PHILIPPINES</v>
          </cell>
          <cell r="D3394" t="str">
            <v>PHP</v>
          </cell>
          <cell r="E3394">
            <v>5.483111396491517</v>
          </cell>
          <cell r="F3394">
            <v>3.6960000000000002</v>
          </cell>
          <cell r="G3394" t="str">
            <v>PHILIPPINES</v>
          </cell>
          <cell r="H3394">
            <v>5</v>
          </cell>
        </row>
        <row r="3395">
          <cell r="B3395" t="str">
            <v>43555PKR</v>
          </cell>
          <cell r="C3395" t="str">
            <v>43555PAKISTAN</v>
          </cell>
          <cell r="D3395" t="str">
            <v>PKR</v>
          </cell>
          <cell r="E3395">
            <v>8.1693510550297859</v>
          </cell>
          <cell r="F3395">
            <v>7.4790000000000001</v>
          </cell>
          <cell r="G3395" t="str">
            <v>PAKISTAN</v>
          </cell>
          <cell r="H3395">
            <v>6</v>
          </cell>
        </row>
        <row r="3396">
          <cell r="B3396" t="str">
            <v>43555PLN</v>
          </cell>
          <cell r="C3396" t="str">
            <v>43555POLAND</v>
          </cell>
          <cell r="D3396" t="str">
            <v>PLN</v>
          </cell>
          <cell r="E3396">
            <v>4.2855420633547672</v>
          </cell>
          <cell r="F3396">
            <v>1.9477500000000001</v>
          </cell>
          <cell r="G3396" t="str">
            <v>POLAND</v>
          </cell>
          <cell r="H3396">
            <v>4.5</v>
          </cell>
        </row>
        <row r="3397">
          <cell r="B3397" t="str">
            <v>43555QAR</v>
          </cell>
          <cell r="C3397" t="str">
            <v>43555QATAR</v>
          </cell>
          <cell r="D3397" t="str">
            <v>QAR</v>
          </cell>
          <cell r="E3397">
            <v>4.2799466177152503</v>
          </cell>
          <cell r="F3397">
            <v>2.6174999999999997</v>
          </cell>
          <cell r="G3397" t="str">
            <v>QATAR</v>
          </cell>
          <cell r="H3397">
            <v>5</v>
          </cell>
        </row>
        <row r="3398">
          <cell r="B3398" t="str">
            <v>43555RON</v>
          </cell>
          <cell r="C3398" t="str">
            <v>43555ROMANIA</v>
          </cell>
          <cell r="D3398" t="str">
            <v>RON</v>
          </cell>
          <cell r="E3398">
            <v>5.0694371513165617</v>
          </cell>
          <cell r="F3398">
            <v>3.1942499999999998</v>
          </cell>
          <cell r="G3398" t="str">
            <v>ROMANIA</v>
          </cell>
          <cell r="H3398">
            <v>6</v>
          </cell>
        </row>
        <row r="3399">
          <cell r="B3399" t="str">
            <v>43555RUB</v>
          </cell>
          <cell r="C3399" t="str">
            <v>43555RUSSIAN FEDERATION</v>
          </cell>
          <cell r="D3399" t="str">
            <v>RUB</v>
          </cell>
          <cell r="E3399">
            <v>6.6113827983255193</v>
          </cell>
          <cell r="F3399">
            <v>4.8725000000000005</v>
          </cell>
          <cell r="G3399" t="str">
            <v>RUSSIAN FEDERATION</v>
          </cell>
          <cell r="H3399">
            <v>7</v>
          </cell>
        </row>
        <row r="3400">
          <cell r="B3400" t="str">
            <v>43555SAR</v>
          </cell>
          <cell r="C3400" t="str">
            <v>43555SAUDI ARABIA</v>
          </cell>
          <cell r="D3400" t="str">
            <v>SAR</v>
          </cell>
          <cell r="E3400">
            <v>3.8133695635085543</v>
          </cell>
          <cell r="F3400">
            <v>2.6174999999999997</v>
          </cell>
          <cell r="G3400" t="str">
            <v>SAUDI ARABIA</v>
          </cell>
          <cell r="H3400">
            <v>5</v>
          </cell>
        </row>
        <row r="3401">
          <cell r="B3401" t="str">
            <v>43555SEK</v>
          </cell>
          <cell r="C3401" t="str">
            <v>43555SWEDEN</v>
          </cell>
          <cell r="D3401" t="str">
            <v>SEK</v>
          </cell>
          <cell r="E3401">
            <v>4.1371334141280283</v>
          </cell>
          <cell r="F3401">
            <v>1.8094999999999999</v>
          </cell>
          <cell r="G3401" t="str">
            <v>SWEDEN</v>
          </cell>
          <cell r="H3401">
            <v>4</v>
          </cell>
        </row>
        <row r="3402">
          <cell r="B3402" t="str">
            <v>43555SGD</v>
          </cell>
          <cell r="C3402" t="str">
            <v>43555SINGAPORE</v>
          </cell>
          <cell r="D3402" t="str">
            <v>SGD</v>
          </cell>
          <cell r="E3402">
            <v>3.6213953428887704</v>
          </cell>
          <cell r="F3402">
            <v>1.3452500000000001</v>
          </cell>
          <cell r="G3402" t="str">
            <v>SINGAPORE</v>
          </cell>
          <cell r="H3402">
            <v>4</v>
          </cell>
        </row>
        <row r="3403">
          <cell r="B3403" t="str">
            <v>43555TZS</v>
          </cell>
          <cell r="C3403" t="str">
            <v>43555TANZANIA, UNITED REPUBLIC OF</v>
          </cell>
          <cell r="D3403" t="str">
            <v>TZS</v>
          </cell>
          <cell r="E3403">
            <v>6.8002691306313015</v>
          </cell>
          <cell r="F3403">
            <v>3.7312500000000002</v>
          </cell>
          <cell r="G3403" t="str">
            <v>TANZANIA, UNITED REPUBLIC OF</v>
          </cell>
          <cell r="H3403">
            <v>6</v>
          </cell>
        </row>
        <row r="3404">
          <cell r="B3404" t="str">
            <v>43555THB</v>
          </cell>
          <cell r="C3404" t="str">
            <v>43555THAILAND</v>
          </cell>
          <cell r="D3404" t="str">
            <v>THB</v>
          </cell>
          <cell r="E3404">
            <v>3.7803451651557332</v>
          </cell>
          <cell r="F3404">
            <v>1.05525</v>
          </cell>
          <cell r="G3404" t="str">
            <v>THAILAND</v>
          </cell>
          <cell r="H3404">
            <v>5</v>
          </cell>
        </row>
        <row r="3405">
          <cell r="B3405" t="str">
            <v>43555TRY</v>
          </cell>
          <cell r="C3405" t="str">
            <v>43555TURKEY</v>
          </cell>
          <cell r="D3405" t="str">
            <v>TRY</v>
          </cell>
          <cell r="E3405">
            <v>16.429770853725728</v>
          </cell>
          <cell r="F3405">
            <v>16.61825</v>
          </cell>
          <cell r="G3405" t="str">
            <v>TURKEY</v>
          </cell>
          <cell r="H3405">
            <v>6</v>
          </cell>
        </row>
        <row r="3406">
          <cell r="B3406" t="str">
            <v>43555TWD</v>
          </cell>
          <cell r="C3406" t="str">
            <v>43555TAIWAN</v>
          </cell>
          <cell r="D3406" t="str">
            <v>TWD</v>
          </cell>
          <cell r="E3406">
            <v>3.5801257370921693</v>
          </cell>
          <cell r="F3406">
            <v>1.1645000000000001</v>
          </cell>
          <cell r="G3406" t="str">
            <v>TAIWAN</v>
          </cell>
          <cell r="H3406">
            <v>5</v>
          </cell>
        </row>
        <row r="3407">
          <cell r="B3407" t="str">
            <v>43555UAH</v>
          </cell>
          <cell r="C3407" t="str">
            <v>43555UKRAINE</v>
          </cell>
          <cell r="D3407" t="str">
            <v>UAH</v>
          </cell>
          <cell r="E3407">
            <v>8.1797132781518602</v>
          </cell>
          <cell r="F3407">
            <v>7.4910000000000005</v>
          </cell>
          <cell r="G3407" t="str">
            <v>UKRAINE</v>
          </cell>
          <cell r="H3407">
            <v>6</v>
          </cell>
        </row>
        <row r="3408">
          <cell r="B3408" t="str">
            <v>43555USD</v>
          </cell>
          <cell r="C3408" t="str">
            <v>43555UNITED STATES</v>
          </cell>
          <cell r="D3408" t="str">
            <v>USD</v>
          </cell>
          <cell r="E3408">
            <v>4.5415174186835197</v>
          </cell>
          <cell r="F3408">
            <v>2.1817500000000001</v>
          </cell>
          <cell r="G3408" t="str">
            <v>UNITED STATES</v>
          </cell>
          <cell r="H3408">
            <v>4</v>
          </cell>
        </row>
        <row r="3409">
          <cell r="B3409" t="str">
            <v>43555VND</v>
          </cell>
          <cell r="C3409" t="str">
            <v>43555VIET NAM</v>
          </cell>
          <cell r="D3409" t="str">
            <v>VND</v>
          </cell>
          <cell r="E3409">
            <v>5.667988332548938</v>
          </cell>
          <cell r="F3409">
            <v>3.1432500000000001</v>
          </cell>
          <cell r="G3409" t="str">
            <v>VIET NAM</v>
          </cell>
          <cell r="H3409">
            <v>6</v>
          </cell>
        </row>
        <row r="3410">
          <cell r="B3410" t="str">
            <v>43555XOF</v>
          </cell>
          <cell r="C3410" t="str">
            <v>43555MALI</v>
          </cell>
          <cell r="D3410" t="str">
            <v>XOF</v>
          </cell>
          <cell r="E3410">
            <v>4.3721285274769741</v>
          </cell>
          <cell r="F3410">
            <v>1.7989999999999999</v>
          </cell>
          <cell r="G3410" t="str">
            <v>MALI</v>
          </cell>
          <cell r="H3410">
            <v>6</v>
          </cell>
        </row>
        <row r="3411">
          <cell r="B3411" t="str">
            <v>43555ZAR</v>
          </cell>
          <cell r="C3411" t="str">
            <v>43555SOUTH AFRICA</v>
          </cell>
          <cell r="D3411" t="str">
            <v>ZAR</v>
          </cell>
          <cell r="E3411">
            <v>7.6211879298041776</v>
          </cell>
          <cell r="F3411">
            <v>5.0672500000000005</v>
          </cell>
          <cell r="G3411" t="str">
            <v>SOUTH AFRICA</v>
          </cell>
          <cell r="H3411">
            <v>5</v>
          </cell>
        </row>
        <row r="3412">
          <cell r="B3412" t="str">
            <v>43555ZMW</v>
          </cell>
          <cell r="C3412" t="str">
            <v>43555ZAMBIA</v>
          </cell>
          <cell r="D3412" t="str">
            <v>ZMW</v>
          </cell>
          <cell r="E3412">
            <v>12.847458014096372</v>
          </cell>
          <cell r="F3412">
            <v>11.0625</v>
          </cell>
          <cell r="G3412" t="str">
            <v>ZAMBIA</v>
          </cell>
          <cell r="H3412">
            <v>6</v>
          </cell>
        </row>
        <row r="3413">
          <cell r="B3413" t="str">
            <v>43555EUR1</v>
          </cell>
          <cell r="C3413" t="str">
            <v>43555BELGIUM</v>
          </cell>
          <cell r="D3413" t="str">
            <v>EUR1</v>
          </cell>
          <cell r="E3413">
            <v>3.9251525690515301</v>
          </cell>
          <cell r="F3413">
            <v>0</v>
          </cell>
          <cell r="G3413" t="str">
            <v>BELGIUM</v>
          </cell>
          <cell r="H3413">
            <v>4</v>
          </cell>
        </row>
        <row r="3414">
          <cell r="B3414" t="str">
            <v>43555EUR2</v>
          </cell>
          <cell r="C3414" t="str">
            <v>43555CYPRUS</v>
          </cell>
          <cell r="D3414" t="str">
            <v>EUR2</v>
          </cell>
          <cell r="E3414">
            <v>3.9251525690515301</v>
          </cell>
          <cell r="F3414">
            <v>0</v>
          </cell>
          <cell r="G3414" t="str">
            <v>CYPRUS</v>
          </cell>
          <cell r="H3414">
            <v>5</v>
          </cell>
        </row>
        <row r="3415">
          <cell r="B3415" t="str">
            <v>43555EUR3</v>
          </cell>
          <cell r="C3415" t="str">
            <v>43555ESTONIA</v>
          </cell>
          <cell r="D3415" t="str">
            <v>EUR3</v>
          </cell>
          <cell r="E3415">
            <v>3.9251525690515301</v>
          </cell>
          <cell r="F3415">
            <v>0</v>
          </cell>
          <cell r="G3415" t="str">
            <v>ESTONIA</v>
          </cell>
          <cell r="H3415">
            <v>6</v>
          </cell>
        </row>
        <row r="3416">
          <cell r="B3416" t="str">
            <v>43555EUR4</v>
          </cell>
          <cell r="C3416" t="str">
            <v>43555FINLAND</v>
          </cell>
          <cell r="D3416" t="str">
            <v>EUR4</v>
          </cell>
          <cell r="E3416">
            <v>3.9251525690515301</v>
          </cell>
          <cell r="F3416">
            <v>0</v>
          </cell>
          <cell r="G3416" t="str">
            <v>FINLAND</v>
          </cell>
          <cell r="H3416">
            <v>4</v>
          </cell>
        </row>
        <row r="3417">
          <cell r="B3417" t="str">
            <v>43555EUR5</v>
          </cell>
          <cell r="C3417" t="str">
            <v>43555FRANCE</v>
          </cell>
          <cell r="D3417" t="str">
            <v>EUR5</v>
          </cell>
          <cell r="E3417">
            <v>3.9251525690515301</v>
          </cell>
          <cell r="F3417">
            <v>0</v>
          </cell>
          <cell r="G3417" t="str">
            <v>FRANCE</v>
          </cell>
          <cell r="H3417">
            <v>4</v>
          </cell>
        </row>
        <row r="3418">
          <cell r="B3418" t="str">
            <v>43555EUR6</v>
          </cell>
          <cell r="C3418" t="str">
            <v>43555GERMANY</v>
          </cell>
          <cell r="D3418" t="str">
            <v>EUR6</v>
          </cell>
          <cell r="E3418">
            <v>3.9251525690515301</v>
          </cell>
          <cell r="F3418">
            <v>0</v>
          </cell>
          <cell r="G3418" t="str">
            <v>GERMANY</v>
          </cell>
          <cell r="H3418">
            <v>4.2004966749273862</v>
          </cell>
        </row>
        <row r="3419">
          <cell r="B3419" t="str">
            <v>43555EUR7</v>
          </cell>
          <cell r="C3419" t="str">
            <v>43555GREECE</v>
          </cell>
          <cell r="D3419" t="str">
            <v>EUR7</v>
          </cell>
          <cell r="E3419">
            <v>3.9251525690515301</v>
          </cell>
          <cell r="F3419">
            <v>0</v>
          </cell>
          <cell r="G3419" t="str">
            <v>GREECE</v>
          </cell>
          <cell r="H3419">
            <v>7</v>
          </cell>
        </row>
        <row r="3420">
          <cell r="B3420" t="str">
            <v>43555EUR8</v>
          </cell>
          <cell r="C3420" t="str">
            <v>43555IRELAND</v>
          </cell>
          <cell r="D3420" t="str">
            <v>EUR8</v>
          </cell>
          <cell r="E3420">
            <v>3.9251525690515301</v>
          </cell>
          <cell r="F3420">
            <v>0</v>
          </cell>
          <cell r="G3420" t="str">
            <v>IRELAND</v>
          </cell>
          <cell r="H3420">
            <v>4</v>
          </cell>
        </row>
        <row r="3421">
          <cell r="B3421" t="str">
            <v>43555EUR9</v>
          </cell>
          <cell r="C3421" t="str">
            <v>43555ITALY</v>
          </cell>
          <cell r="D3421" t="str">
            <v>EUR9</v>
          </cell>
          <cell r="E3421">
            <v>3.9251525690515301</v>
          </cell>
          <cell r="F3421">
            <v>0</v>
          </cell>
          <cell r="G3421" t="str">
            <v>ITALY</v>
          </cell>
          <cell r="H3421">
            <v>4.5</v>
          </cell>
        </row>
        <row r="3422">
          <cell r="B3422" t="str">
            <v>43555EUR10</v>
          </cell>
          <cell r="C3422" t="str">
            <v>43555LATVIA</v>
          </cell>
          <cell r="D3422" t="str">
            <v>EUR10</v>
          </cell>
          <cell r="E3422">
            <v>3.9251525690515301</v>
          </cell>
          <cell r="F3422">
            <v>0</v>
          </cell>
          <cell r="G3422" t="str">
            <v>LATVIA</v>
          </cell>
          <cell r="H3422">
            <v>6</v>
          </cell>
        </row>
        <row r="3423">
          <cell r="B3423" t="str">
            <v>43555EUR11</v>
          </cell>
          <cell r="C3423" t="str">
            <v>43555LUXEMBOURG</v>
          </cell>
          <cell r="D3423" t="str">
            <v>EUR11</v>
          </cell>
          <cell r="E3423">
            <v>3.9251525690515301</v>
          </cell>
          <cell r="F3423">
            <v>0</v>
          </cell>
          <cell r="G3423" t="str">
            <v>LUXEMBOURG</v>
          </cell>
          <cell r="H3423">
            <v>4</v>
          </cell>
        </row>
        <row r="3424">
          <cell r="B3424" t="str">
            <v>43555EUR12</v>
          </cell>
          <cell r="C3424" t="str">
            <v>43555MALTA</v>
          </cell>
          <cell r="D3424" t="str">
            <v>EUR12</v>
          </cell>
          <cell r="E3424">
            <v>3.9251525690515301</v>
          </cell>
          <cell r="F3424">
            <v>0</v>
          </cell>
          <cell r="G3424" t="str">
            <v>MALTA</v>
          </cell>
          <cell r="H3424">
            <v>4</v>
          </cell>
        </row>
        <row r="3425">
          <cell r="B3425" t="str">
            <v>43555EUR13</v>
          </cell>
          <cell r="C3425" t="str">
            <v>43555MONTENEGRO</v>
          </cell>
          <cell r="D3425" t="str">
            <v>EUR13</v>
          </cell>
          <cell r="E3425">
            <v>3.9251525690515301</v>
          </cell>
          <cell r="F3425">
            <v>0</v>
          </cell>
          <cell r="G3425" t="str">
            <v>MONTENEGRO</v>
          </cell>
          <cell r="H3425">
            <v>6</v>
          </cell>
        </row>
        <row r="3426">
          <cell r="B3426" t="str">
            <v>43555EUR14</v>
          </cell>
          <cell r="C3426" t="str">
            <v>43555NETHERLANDS</v>
          </cell>
          <cell r="D3426" t="str">
            <v>EUR14</v>
          </cell>
          <cell r="E3426">
            <v>3.9251525690515301</v>
          </cell>
          <cell r="F3426">
            <v>0</v>
          </cell>
          <cell r="G3426" t="str">
            <v>NETHERLANDS</v>
          </cell>
          <cell r="H3426">
            <v>4</v>
          </cell>
        </row>
        <row r="3427">
          <cell r="B3427" t="str">
            <v>43555EUR15</v>
          </cell>
          <cell r="C3427" t="str">
            <v>43555PORTUGAL</v>
          </cell>
          <cell r="D3427" t="str">
            <v>EUR15</v>
          </cell>
          <cell r="E3427">
            <v>3.9251525690515301</v>
          </cell>
          <cell r="F3427">
            <v>0</v>
          </cell>
          <cell r="G3427" t="str">
            <v>PORTUGAL</v>
          </cell>
          <cell r="H3427">
            <v>4</v>
          </cell>
        </row>
        <row r="3428">
          <cell r="B3428" t="str">
            <v>43555EUR16</v>
          </cell>
          <cell r="C3428" t="str">
            <v>43555SLOVAKIA</v>
          </cell>
          <cell r="D3428" t="str">
            <v>EUR16</v>
          </cell>
          <cell r="E3428">
            <v>3.9251525690515301</v>
          </cell>
          <cell r="F3428">
            <v>0</v>
          </cell>
          <cell r="G3428" t="str">
            <v>SLOVAKIA</v>
          </cell>
          <cell r="H3428">
            <v>5</v>
          </cell>
        </row>
        <row r="3429">
          <cell r="B3429" t="str">
            <v>43555EUR17</v>
          </cell>
          <cell r="C3429" t="str">
            <v>43555SLOVENIA</v>
          </cell>
          <cell r="D3429" t="str">
            <v>EUR17</v>
          </cell>
          <cell r="E3429">
            <v>3.9251525690515301</v>
          </cell>
          <cell r="F3429">
            <v>0</v>
          </cell>
          <cell r="G3429" t="str">
            <v>SLOVENIA</v>
          </cell>
          <cell r="H3429">
            <v>6</v>
          </cell>
        </row>
        <row r="3430">
          <cell r="B3430" t="str">
            <v>43555EUR18</v>
          </cell>
          <cell r="C3430" t="str">
            <v>43555SPAIN</v>
          </cell>
          <cell r="D3430" t="str">
            <v>EUR18</v>
          </cell>
          <cell r="E3430">
            <v>3.9251525690515301</v>
          </cell>
          <cell r="F3430">
            <v>0</v>
          </cell>
          <cell r="G3430" t="str">
            <v>SPAIN</v>
          </cell>
          <cell r="H3430">
            <v>4</v>
          </cell>
        </row>
        <row r="3431">
          <cell r="B3431" t="str">
            <v>43555EUR20</v>
          </cell>
          <cell r="C3431" t="str">
            <v>43555AUSTRIA</v>
          </cell>
          <cell r="D3431" t="str">
            <v>EUR20</v>
          </cell>
          <cell r="E3431">
            <v>3.9251525690515301</v>
          </cell>
          <cell r="F3431">
            <v>0</v>
          </cell>
          <cell r="G3431" t="str">
            <v>AUSTRIA</v>
          </cell>
          <cell r="H3431">
            <v>4</v>
          </cell>
        </row>
        <row r="3432">
          <cell r="B3432" t="str">
            <v>43555Eastern European Institutions</v>
          </cell>
          <cell r="C3432" t="str">
            <v>43555Eastern European Institutions</v>
          </cell>
          <cell r="D3432" t="str">
            <v>Eastern European Institutions</v>
          </cell>
          <cell r="E3432">
            <v>0</v>
          </cell>
          <cell r="G3432" t="str">
            <v>Eastern European Institutions</v>
          </cell>
          <cell r="H3432">
            <v>5</v>
          </cell>
        </row>
        <row r="3433">
          <cell r="B3433" t="str">
            <v>43585AED</v>
          </cell>
          <cell r="C3433" t="str">
            <v>43585U. A. E.</v>
          </cell>
          <cell r="D3433" t="str">
            <v>AED</v>
          </cell>
          <cell r="E3433">
            <v>4.346796522070199</v>
          </cell>
          <cell r="F3433">
            <v>2.5790000000000002</v>
          </cell>
          <cell r="G3433" t="str">
            <v>U. A. E.</v>
          </cell>
          <cell r="H3433">
            <v>5</v>
          </cell>
        </row>
        <row r="3434">
          <cell r="B3434" t="str">
            <v>43585ARS</v>
          </cell>
          <cell r="C3434" t="str">
            <v>43585ARGENTINA</v>
          </cell>
          <cell r="D3434" t="str">
            <v>ARS</v>
          </cell>
          <cell r="E3434">
            <v>22.923999074959816</v>
          </cell>
          <cell r="F3434">
            <v>36.864000000000004</v>
          </cell>
          <cell r="G3434" t="str">
            <v>ARGENTINA</v>
          </cell>
          <cell r="H3434">
            <v>9</v>
          </cell>
        </row>
        <row r="3435">
          <cell r="B3435" t="str">
            <v>43585AUD</v>
          </cell>
          <cell r="C3435" t="str">
            <v>43585AUSTRALIA</v>
          </cell>
          <cell r="D3435" t="str">
            <v>AUD</v>
          </cell>
          <cell r="E3435">
            <v>4.6146082417236647</v>
          </cell>
          <cell r="F3435">
            <v>2.101</v>
          </cell>
          <cell r="G3435" t="str">
            <v>AUSTRALIA</v>
          </cell>
          <cell r="H3435">
            <v>3.5953800448637798</v>
          </cell>
        </row>
        <row r="3436">
          <cell r="B3436" t="str">
            <v>43585BDT</v>
          </cell>
          <cell r="C3436" t="str">
            <v>43585BANGLADESH</v>
          </cell>
          <cell r="D3436" t="str">
            <v>BDT</v>
          </cell>
          <cell r="E3436">
            <v>7.7073896020150947</v>
          </cell>
          <cell r="F3436">
            <v>5.3959999999999999</v>
          </cell>
          <cell r="G3436" t="str">
            <v>BANGLADESH</v>
          </cell>
          <cell r="H3436">
            <v>6</v>
          </cell>
        </row>
        <row r="3437">
          <cell r="B3437" t="str">
            <v>43585BRL</v>
          </cell>
          <cell r="C3437" t="str">
            <v>43585BRAZIL</v>
          </cell>
          <cell r="D3437" t="str">
            <v>BRL</v>
          </cell>
          <cell r="E3437">
            <v>6.1634453522755352</v>
          </cell>
          <cell r="F3437">
            <v>3.7316666666666665</v>
          </cell>
          <cell r="G3437" t="str">
            <v>BRAZIL</v>
          </cell>
          <cell r="H3437">
            <v>6</v>
          </cell>
        </row>
        <row r="3438">
          <cell r="B3438" t="str">
            <v>43585BWP</v>
          </cell>
          <cell r="C3438" t="str">
            <v>43585BOTSWANA</v>
          </cell>
          <cell r="D3438" t="str">
            <v>BWP</v>
          </cell>
          <cell r="E3438">
            <v>6.0931233614718563</v>
          </cell>
          <cell r="F3438">
            <v>3.6773333333333333</v>
          </cell>
          <cell r="G3438" t="str">
            <v>BOTSWANA</v>
          </cell>
          <cell r="H3438">
            <v>6</v>
          </cell>
        </row>
        <row r="3439">
          <cell r="B3439" t="str">
            <v>43585CAD</v>
          </cell>
          <cell r="C3439" t="str">
            <v>43585CANADA</v>
          </cell>
          <cell r="D3439" t="str">
            <v>CAD</v>
          </cell>
          <cell r="E3439">
            <v>4.2340610758947941</v>
          </cell>
          <cell r="F3439">
            <v>1.7716666666666667</v>
          </cell>
          <cell r="G3439" t="str">
            <v>CANADA</v>
          </cell>
          <cell r="H3439">
            <v>4</v>
          </cell>
        </row>
        <row r="3440">
          <cell r="B3440" t="str">
            <v>43585CHF</v>
          </cell>
          <cell r="C3440" t="str">
            <v>43585SWITZERLAND</v>
          </cell>
          <cell r="D3440" t="str">
            <v>CHF</v>
          </cell>
          <cell r="E3440">
            <v>3.2033704435821244</v>
          </cell>
          <cell r="F3440">
            <v>0.85666666666666669</v>
          </cell>
          <cell r="G3440" t="str">
            <v>SWITZERLAND</v>
          </cell>
          <cell r="H3440">
            <v>4</v>
          </cell>
        </row>
        <row r="3441">
          <cell r="B3441" t="str">
            <v>43585CLP</v>
          </cell>
          <cell r="C3441" t="str">
            <v>43585CHILE</v>
          </cell>
          <cell r="D3441" t="str">
            <v>CLP</v>
          </cell>
          <cell r="E3441">
            <v>5.1110628904951918</v>
          </cell>
          <cell r="F3441">
            <v>2.5466666666666664</v>
          </cell>
          <cell r="G3441" t="str">
            <v>CHILE</v>
          </cell>
          <cell r="H3441">
            <v>5</v>
          </cell>
        </row>
        <row r="3442">
          <cell r="B3442" t="str">
            <v>43585CNY</v>
          </cell>
          <cell r="C3442" t="str">
            <v>43585CHINA</v>
          </cell>
          <cell r="D3442" t="str">
            <v>CNY</v>
          </cell>
          <cell r="E3442">
            <v>4.9466537683885461</v>
          </cell>
          <cell r="F3442">
            <v>2.3543333333333334</v>
          </cell>
          <cell r="G3442" t="str">
            <v>CHINA</v>
          </cell>
          <cell r="H3442">
            <v>7</v>
          </cell>
        </row>
        <row r="3443">
          <cell r="B3443" t="str">
            <v>43585COP</v>
          </cell>
          <cell r="C3443" t="str">
            <v>43585COLOMBIA</v>
          </cell>
          <cell r="D3443" t="str">
            <v>COP</v>
          </cell>
          <cell r="E3443">
            <v>5.3809269186441391</v>
          </cell>
          <cell r="F3443">
            <v>3.2943333333333333</v>
          </cell>
          <cell r="G3443" t="str">
            <v>COLOMBIA</v>
          </cell>
          <cell r="H3443">
            <v>5</v>
          </cell>
        </row>
        <row r="3444">
          <cell r="B3444" t="str">
            <v>43585CZK</v>
          </cell>
          <cell r="C3444" t="str">
            <v>43585CZECH REPUBLIC</v>
          </cell>
          <cell r="D3444" t="str">
            <v>CZK</v>
          </cell>
          <cell r="E3444">
            <v>4.3147178224534324</v>
          </cell>
          <cell r="F3444">
            <v>2.2159999999999997</v>
          </cell>
          <cell r="G3444" t="str">
            <v>CZECH REPUBLIC</v>
          </cell>
          <cell r="H3444">
            <v>5</v>
          </cell>
        </row>
        <row r="3445">
          <cell r="B3445" t="str">
            <v>43585DKK</v>
          </cell>
          <cell r="C3445" t="str">
            <v>43585DENMARK</v>
          </cell>
          <cell r="D3445" t="str">
            <v>DKK</v>
          </cell>
          <cell r="E3445">
            <v>3.7894761680130875</v>
          </cell>
          <cell r="F3445">
            <v>1.1666666666666667</v>
          </cell>
          <cell r="G3445" t="str">
            <v>DENMARK</v>
          </cell>
          <cell r="H3445">
            <v>4</v>
          </cell>
        </row>
        <row r="3446">
          <cell r="B3446" t="str">
            <v>43585EGP</v>
          </cell>
          <cell r="C3446" t="str">
            <v>43585EGYPT</v>
          </cell>
          <cell r="D3446" t="str">
            <v>EGP</v>
          </cell>
          <cell r="E3446">
            <v>11.994805698767722</v>
          </cell>
          <cell r="F3446">
            <v>13.774999999999999</v>
          </cell>
          <cell r="G3446" t="str">
            <v>EGYPT</v>
          </cell>
          <cell r="H3446">
            <v>5</v>
          </cell>
        </row>
        <row r="3447">
          <cell r="B3447" t="str">
            <v>43585EUR</v>
          </cell>
          <cell r="D3447" t="str">
            <v>EUR</v>
          </cell>
          <cell r="E3447">
            <v>3.9251525690515301</v>
          </cell>
          <cell r="F3447">
            <v>1.3956666666666666</v>
          </cell>
          <cell r="H3447">
            <v>0</v>
          </cell>
        </row>
        <row r="3448">
          <cell r="B3448" t="str">
            <v>43585GBP</v>
          </cell>
          <cell r="C3448" t="str">
            <v>43585UNITED KINGDOM</v>
          </cell>
          <cell r="D3448" t="str">
            <v>GBP</v>
          </cell>
          <cell r="E3448">
            <v>4.223177142787752</v>
          </cell>
          <cell r="F3448">
            <v>1.8929999999999998</v>
          </cell>
          <cell r="G3448" t="str">
            <v>UNITED KINGDOM</v>
          </cell>
          <cell r="H3448">
            <v>4</v>
          </cell>
        </row>
        <row r="3449">
          <cell r="B3449" t="str">
            <v>43585GEL</v>
          </cell>
          <cell r="C3449" t="str">
            <v>43585GEORGIA</v>
          </cell>
          <cell r="D3449" t="str">
            <v>GEL</v>
          </cell>
          <cell r="E3449">
            <v>5.1568100533515828</v>
          </cell>
          <cell r="F3449">
            <v>2.6776666666666666</v>
          </cell>
          <cell r="G3449" t="str">
            <v>GEORGIA</v>
          </cell>
          <cell r="H3449">
            <v>6</v>
          </cell>
        </row>
        <row r="3450">
          <cell r="B3450" t="str">
            <v>43585HKD</v>
          </cell>
          <cell r="C3450" t="str">
            <v>43585HONG KONG</v>
          </cell>
          <cell r="D3450" t="str">
            <v>HKD</v>
          </cell>
          <cell r="E3450">
            <v>4.7099882865874445</v>
          </cell>
          <cell r="F3450">
            <v>2.5790000000000002</v>
          </cell>
          <cell r="G3450" t="str">
            <v>HONG KONG</v>
          </cell>
          <cell r="H3450">
            <v>4</v>
          </cell>
        </row>
        <row r="3451">
          <cell r="B3451" t="str">
            <v>43585GHS</v>
          </cell>
          <cell r="C3451" t="str">
            <v>43585GHANA</v>
          </cell>
          <cell r="D3451" t="str">
            <v>GHS</v>
          </cell>
          <cell r="E3451">
            <v>9.8298960073114365</v>
          </cell>
          <cell r="F3451">
            <v>8.8306666666666658</v>
          </cell>
          <cell r="G3451" t="str">
            <v>GHANA</v>
          </cell>
          <cell r="H3451">
            <v>6</v>
          </cell>
        </row>
        <row r="3452">
          <cell r="B3452" t="str">
            <v>43585HRK</v>
          </cell>
          <cell r="C3452" t="str">
            <v>43585CROATIA</v>
          </cell>
          <cell r="D3452" t="str">
            <v>HRK</v>
          </cell>
          <cell r="E3452">
            <v>3.9448913304420499</v>
          </cell>
          <cell r="F3452">
            <v>1.5166666666666666</v>
          </cell>
          <cell r="G3452" t="str">
            <v>CROATIA</v>
          </cell>
          <cell r="H3452">
            <v>6</v>
          </cell>
        </row>
        <row r="3453">
          <cell r="B3453" t="str">
            <v>43585HUF</v>
          </cell>
          <cell r="C3453" t="str">
            <v>43585HUNGARY</v>
          </cell>
          <cell r="D3453" t="str">
            <v>HUF</v>
          </cell>
          <cell r="E3453">
            <v>5.295753082330549</v>
          </cell>
          <cell r="F3453">
            <v>3.1723333333333334</v>
          </cell>
          <cell r="G3453" t="str">
            <v>HUNGARY</v>
          </cell>
          <cell r="H3453">
            <v>5</v>
          </cell>
        </row>
        <row r="3454">
          <cell r="B3454" t="str">
            <v>43585IDR</v>
          </cell>
          <cell r="C3454" t="str">
            <v>43585INDONESIA</v>
          </cell>
          <cell r="D3454" t="str">
            <v>IDR</v>
          </cell>
          <cell r="E3454">
            <v>5.5034015891384049</v>
          </cell>
          <cell r="F3454">
            <v>3.4139999999999997</v>
          </cell>
          <cell r="G3454" t="str">
            <v>INDONESIA</v>
          </cell>
          <cell r="H3454">
            <v>5</v>
          </cell>
        </row>
        <row r="3455">
          <cell r="B3455" t="str">
            <v>43585ILS</v>
          </cell>
          <cell r="C3455" t="str">
            <v>43585ISRAEL</v>
          </cell>
          <cell r="D3455" t="str">
            <v>ILS</v>
          </cell>
          <cell r="E3455">
            <v>3.9592815720316068</v>
          </cell>
          <cell r="F3455">
            <v>1.1473333333333333</v>
          </cell>
          <cell r="G3455" t="str">
            <v>ISRAEL</v>
          </cell>
          <cell r="H3455">
            <v>4</v>
          </cell>
        </row>
        <row r="3456">
          <cell r="B3456" t="str">
            <v>43585INR</v>
          </cell>
          <cell r="C3456" t="str">
            <v>43585INDIA</v>
          </cell>
          <cell r="D3456" t="str">
            <v>INR</v>
          </cell>
          <cell r="E3456">
            <v>6.3745142382841271</v>
          </cell>
          <cell r="F3456">
            <v>4.0030000000000001</v>
          </cell>
          <cell r="G3456" t="str">
            <v>INDIA</v>
          </cell>
          <cell r="H3456">
            <v>5</v>
          </cell>
        </row>
        <row r="3457">
          <cell r="B3457" t="str">
            <v>43585IQD</v>
          </cell>
          <cell r="C3457" t="str">
            <v>43585IRAQ</v>
          </cell>
          <cell r="D3457" t="str">
            <v>IQD</v>
          </cell>
          <cell r="E3457">
            <v>4.2500000000000018</v>
          </cell>
          <cell r="F3457">
            <v>2</v>
          </cell>
          <cell r="G3457" t="str">
            <v>IRAQ</v>
          </cell>
          <cell r="H3457">
            <v>6</v>
          </cell>
        </row>
        <row r="3458">
          <cell r="B3458" t="str">
            <v>43585JPY</v>
          </cell>
          <cell r="C3458" t="str">
            <v>43585JAPAN</v>
          </cell>
          <cell r="D3458" t="str">
            <v>JPY</v>
          </cell>
          <cell r="E3458">
            <v>3.5052595237571573</v>
          </cell>
          <cell r="F3458">
            <v>1.2256666666666667</v>
          </cell>
          <cell r="G3458" t="str">
            <v>JAPAN</v>
          </cell>
          <cell r="H3458">
            <v>4</v>
          </cell>
        </row>
        <row r="3459">
          <cell r="B3459" t="str">
            <v>43585KES</v>
          </cell>
          <cell r="C3459" t="str">
            <v>43585KENYA</v>
          </cell>
          <cell r="D3459" t="str">
            <v>KES</v>
          </cell>
          <cell r="E3459">
            <v>7.1305284338347965</v>
          </cell>
          <cell r="F3459">
            <v>4.6026666666666669</v>
          </cell>
          <cell r="G3459" t="str">
            <v>KENYA</v>
          </cell>
          <cell r="H3459">
            <v>7.5</v>
          </cell>
        </row>
        <row r="3460">
          <cell r="B3460" t="str">
            <v>43585JOD</v>
          </cell>
          <cell r="C3460" t="str">
            <v>43585JORDAN</v>
          </cell>
          <cell r="D3460" t="str">
            <v>JOD</v>
          </cell>
          <cell r="E3460">
            <v>4.6634102286304859</v>
          </cell>
          <cell r="F3460">
            <v>2.5790000000000002</v>
          </cell>
          <cell r="G3460" t="str">
            <v>JORDAN</v>
          </cell>
          <cell r="H3460">
            <v>6</v>
          </cell>
        </row>
        <row r="3461">
          <cell r="B3461" t="str">
            <v>43585KHR</v>
          </cell>
          <cell r="C3461" t="str">
            <v>43585CAMBODIA</v>
          </cell>
          <cell r="D3461" t="str">
            <v>KHR</v>
          </cell>
          <cell r="E3461">
            <v>5.1178522888126778</v>
          </cell>
          <cell r="F3461">
            <v>2.6389999999999998</v>
          </cell>
          <cell r="G3461" t="str">
            <v>CAMBODIA</v>
          </cell>
          <cell r="H3461">
            <v>6</v>
          </cell>
        </row>
        <row r="3462">
          <cell r="B3462" t="str">
            <v>43585KRW</v>
          </cell>
          <cell r="C3462" t="str">
            <v>43585KOREA SOUTH(REPUBLIC OF KOREA)</v>
          </cell>
          <cell r="D3462" t="str">
            <v>KRW</v>
          </cell>
          <cell r="E3462">
            <v>3.9100165701703196</v>
          </cell>
          <cell r="F3462">
            <v>1.4173333333333333</v>
          </cell>
          <cell r="G3462" t="str">
            <v>KOREA SOUTH(REPUBLIC OF KOREA)</v>
          </cell>
          <cell r="H3462">
            <v>5</v>
          </cell>
        </row>
        <row r="3463">
          <cell r="B3463" t="str">
            <v>43585KWD</v>
          </cell>
          <cell r="C3463" t="str">
            <v>43585KUWAIT</v>
          </cell>
          <cell r="D3463" t="str">
            <v>KWD</v>
          </cell>
          <cell r="E3463">
            <v>5.6067280783844078</v>
          </cell>
          <cell r="F3463">
            <v>2.5666666666666669</v>
          </cell>
          <cell r="G3463" t="str">
            <v>KUWAIT</v>
          </cell>
          <cell r="H3463">
            <v>6</v>
          </cell>
        </row>
        <row r="3464">
          <cell r="B3464" t="str">
            <v>43585LKR</v>
          </cell>
          <cell r="C3464" t="str">
            <v>43585SRI LANKA</v>
          </cell>
          <cell r="D3464" t="str">
            <v>LKR</v>
          </cell>
          <cell r="E3464">
            <v>6.9598835116329063</v>
          </cell>
          <cell r="F3464">
            <v>4.5333333333333332</v>
          </cell>
          <cell r="G3464" t="str">
            <v>SRI LANKA</v>
          </cell>
          <cell r="H3464">
            <v>6</v>
          </cell>
        </row>
        <row r="3465">
          <cell r="B3465" t="str">
            <v>43585KZT</v>
          </cell>
          <cell r="C3465" t="str">
            <v>43585KAZAKHSTAN</v>
          </cell>
          <cell r="D3465" t="str">
            <v>KZT</v>
          </cell>
          <cell r="E3465">
            <v>6.8686921914282308</v>
          </cell>
          <cell r="F3465">
            <v>5.3006666666666673</v>
          </cell>
          <cell r="G3465" t="str">
            <v>KAZAKHSTAN</v>
          </cell>
          <cell r="H3465">
            <v>6</v>
          </cell>
        </row>
        <row r="3466">
          <cell r="B3466" t="str">
            <v>43585MAD</v>
          </cell>
          <cell r="C3466" t="str">
            <v>43585MOROCCO</v>
          </cell>
          <cell r="D3466" t="str">
            <v>MAD</v>
          </cell>
          <cell r="E3466">
            <v>4.1297166463972115</v>
          </cell>
          <cell r="F3466">
            <v>1.5999999999999999</v>
          </cell>
          <cell r="G3466" t="str">
            <v>MOROCCO</v>
          </cell>
          <cell r="H3466">
            <v>6</v>
          </cell>
        </row>
        <row r="3467">
          <cell r="B3467" t="str">
            <v>43585MXN</v>
          </cell>
          <cell r="C3467" t="str">
            <v>43585MEXICO</v>
          </cell>
          <cell r="D3467" t="str">
            <v>MXN</v>
          </cell>
          <cell r="E3467">
            <v>5.4325212139813486</v>
          </cell>
          <cell r="F3467">
            <v>3.5739999999999998</v>
          </cell>
          <cell r="G3467" t="str">
            <v>MEXICO</v>
          </cell>
          <cell r="H3467">
            <v>7</v>
          </cell>
        </row>
        <row r="3468">
          <cell r="B3468" t="str">
            <v>43585MYR</v>
          </cell>
          <cell r="C3468" t="str">
            <v>43585MALAYSIA</v>
          </cell>
          <cell r="D3468" t="str">
            <v>MYR</v>
          </cell>
          <cell r="E3468">
            <v>4.607412777871537</v>
          </cell>
          <cell r="F3468">
            <v>2.1839999999999997</v>
          </cell>
          <cell r="G3468" t="str">
            <v>MALAYSIA</v>
          </cell>
          <cell r="H3468">
            <v>5</v>
          </cell>
        </row>
        <row r="3469">
          <cell r="B3469" t="str">
            <v>43585NGN</v>
          </cell>
          <cell r="C3469" t="str">
            <v>43585NIGERIA</v>
          </cell>
          <cell r="D3469" t="str">
            <v>NGN</v>
          </cell>
          <cell r="E3469">
            <v>13.705568126780701</v>
          </cell>
          <cell r="F3469">
            <v>11.710666666666668</v>
          </cell>
          <cell r="G3469" t="str">
            <v>NIGERIA</v>
          </cell>
          <cell r="H3469">
            <v>6</v>
          </cell>
        </row>
        <row r="3470">
          <cell r="B3470" t="str">
            <v>43585NOK</v>
          </cell>
          <cell r="C3470" t="str">
            <v>43585NORWAY</v>
          </cell>
          <cell r="D3470" t="str">
            <v>NOK</v>
          </cell>
          <cell r="E3470">
            <v>4.1399391226501638</v>
          </cell>
          <cell r="F3470">
            <v>1.8333333333333333</v>
          </cell>
          <cell r="G3470" t="str">
            <v>NORWAY</v>
          </cell>
          <cell r="H3470">
            <v>4</v>
          </cell>
        </row>
        <row r="3471">
          <cell r="B3471" t="str">
            <v>43585NZD</v>
          </cell>
          <cell r="C3471" t="str">
            <v>43585NEW ZEALAND</v>
          </cell>
          <cell r="D3471" t="str">
            <v>NZD</v>
          </cell>
          <cell r="E3471">
            <v>4.2377944332597153</v>
          </cell>
          <cell r="F3471">
            <v>1.9496666666666669</v>
          </cell>
          <cell r="G3471" t="str">
            <v>NEW ZEALAND</v>
          </cell>
          <cell r="H3471">
            <v>4</v>
          </cell>
        </row>
        <row r="3472">
          <cell r="B3472" t="str">
            <v>43585OMR</v>
          </cell>
          <cell r="C3472" t="str">
            <v>43585OMAN</v>
          </cell>
          <cell r="D3472" t="str">
            <v>OMR</v>
          </cell>
          <cell r="E3472">
            <v>4.9061483258207952</v>
          </cell>
          <cell r="F3472">
            <v>2.5790000000000002</v>
          </cell>
          <cell r="G3472" t="str">
            <v>OMAN</v>
          </cell>
          <cell r="H3472">
            <v>6</v>
          </cell>
        </row>
        <row r="3473">
          <cell r="B3473" t="str">
            <v>43585PEN</v>
          </cell>
          <cell r="C3473" t="str">
            <v>43585PERU</v>
          </cell>
          <cell r="D3473" t="str">
            <v>PEN</v>
          </cell>
          <cell r="E3473">
            <v>4.3158710633359556</v>
          </cell>
          <cell r="F3473">
            <v>2.2586666666666666</v>
          </cell>
          <cell r="G3473" t="str">
            <v>PERU</v>
          </cell>
          <cell r="H3473">
            <v>5</v>
          </cell>
        </row>
        <row r="3474">
          <cell r="B3474" t="str">
            <v>43585PGK</v>
          </cell>
          <cell r="C3474" t="str">
            <v>43585PAPUA NEW GUINEA</v>
          </cell>
          <cell r="D3474" t="str">
            <v>PGK</v>
          </cell>
          <cell r="E3474">
            <v>6.7496934859149462</v>
          </cell>
          <cell r="F3474">
            <v>4.4333333333333336</v>
          </cell>
          <cell r="G3474" t="str">
            <v>PAPUA NEW GUINEA</v>
          </cell>
          <cell r="H3474">
            <v>6</v>
          </cell>
        </row>
        <row r="3475">
          <cell r="B3475" t="str">
            <v>43585PHP</v>
          </cell>
          <cell r="C3475" t="str">
            <v>43585PHILIPPINES</v>
          </cell>
          <cell r="D3475" t="str">
            <v>PHP</v>
          </cell>
          <cell r="E3475">
            <v>5.483111396491517</v>
          </cell>
          <cell r="F3475">
            <v>3.649</v>
          </cell>
          <cell r="G3475" t="str">
            <v>PHILIPPINES</v>
          </cell>
          <cell r="H3475">
            <v>5</v>
          </cell>
        </row>
        <row r="3476">
          <cell r="B3476" t="str">
            <v>43585PKR</v>
          </cell>
          <cell r="C3476" t="str">
            <v>43585PAKISTAN</v>
          </cell>
          <cell r="D3476" t="str">
            <v>PKR</v>
          </cell>
          <cell r="E3476">
            <v>8.1693510550297859</v>
          </cell>
          <cell r="F3476">
            <v>7.4239999999999995</v>
          </cell>
          <cell r="G3476" t="str">
            <v>PAKISTAN</v>
          </cell>
          <cell r="H3476">
            <v>6</v>
          </cell>
        </row>
        <row r="3477">
          <cell r="B3477" t="str">
            <v>43585PLN</v>
          </cell>
          <cell r="C3477" t="str">
            <v>43585POLAND</v>
          </cell>
          <cell r="D3477" t="str">
            <v>PLN</v>
          </cell>
          <cell r="E3477">
            <v>4.2855420633547672</v>
          </cell>
          <cell r="F3477">
            <v>1.9436666666666667</v>
          </cell>
          <cell r="G3477" t="str">
            <v>POLAND</v>
          </cell>
          <cell r="H3477">
            <v>5</v>
          </cell>
        </row>
        <row r="3478">
          <cell r="B3478" t="str">
            <v>43585QAR</v>
          </cell>
          <cell r="C3478" t="str">
            <v>43585QATAR</v>
          </cell>
          <cell r="D3478" t="str">
            <v>QAR</v>
          </cell>
          <cell r="E3478">
            <v>4.2799466177152503</v>
          </cell>
          <cell r="F3478">
            <v>2.5790000000000002</v>
          </cell>
          <cell r="G3478" t="str">
            <v>QATAR</v>
          </cell>
          <cell r="H3478">
            <v>5</v>
          </cell>
        </row>
        <row r="3479">
          <cell r="B3479" t="str">
            <v>43585RON</v>
          </cell>
          <cell r="C3479" t="str">
            <v>43585ROMANIA</v>
          </cell>
          <cell r="D3479" t="str">
            <v>RON</v>
          </cell>
          <cell r="E3479">
            <v>5.0694371513165617</v>
          </cell>
          <cell r="F3479">
            <v>3.1673333333333331</v>
          </cell>
          <cell r="G3479" t="str">
            <v>ROMANIA</v>
          </cell>
          <cell r="H3479">
            <v>6</v>
          </cell>
        </row>
        <row r="3480">
          <cell r="B3480" t="str">
            <v>43585RUB</v>
          </cell>
          <cell r="C3480" t="str">
            <v>43585RUSSIAN FEDERATION</v>
          </cell>
          <cell r="D3480" t="str">
            <v>RUB</v>
          </cell>
          <cell r="E3480">
            <v>6.6113827983255193</v>
          </cell>
          <cell r="F3480">
            <v>4.833333333333333</v>
          </cell>
          <cell r="G3480" t="str">
            <v>RUSSIAN FEDERATION</v>
          </cell>
          <cell r="H3480">
            <v>7</v>
          </cell>
        </row>
        <row r="3481">
          <cell r="B3481" t="str">
            <v>43585SAR</v>
          </cell>
          <cell r="C3481" t="str">
            <v>43585SAUDI ARABIA</v>
          </cell>
          <cell r="D3481" t="str">
            <v>SAR</v>
          </cell>
          <cell r="E3481">
            <v>3.8133695635085543</v>
          </cell>
          <cell r="F3481">
            <v>2.5790000000000002</v>
          </cell>
          <cell r="G3481" t="str">
            <v>SAUDI ARABIA</v>
          </cell>
          <cell r="H3481">
            <v>5</v>
          </cell>
        </row>
        <row r="3482">
          <cell r="B3482" t="str">
            <v>43585SEK</v>
          </cell>
          <cell r="C3482" t="str">
            <v>43585SWEDEN</v>
          </cell>
          <cell r="D3482" t="str">
            <v>SEK</v>
          </cell>
          <cell r="E3482">
            <v>4.1371334141280283</v>
          </cell>
          <cell r="F3482">
            <v>1.7956666666666665</v>
          </cell>
          <cell r="G3482" t="str">
            <v>SWEDEN</v>
          </cell>
          <cell r="H3482">
            <v>4</v>
          </cell>
        </row>
        <row r="3483">
          <cell r="B3483" t="str">
            <v>43585SGD</v>
          </cell>
          <cell r="C3483" t="str">
            <v>43585SINGAPORE</v>
          </cell>
          <cell r="D3483" t="str">
            <v>SGD</v>
          </cell>
          <cell r="E3483">
            <v>3.6213953428887704</v>
          </cell>
          <cell r="F3483">
            <v>1.3499999999999999</v>
          </cell>
          <cell r="G3483" t="str">
            <v>SINGAPORE</v>
          </cell>
          <cell r="H3483">
            <v>4</v>
          </cell>
        </row>
        <row r="3484">
          <cell r="B3484" t="str">
            <v>43585TZS</v>
          </cell>
          <cell r="C3484" t="str">
            <v>43585TANZANIA, UNITED REPUBLIC OF</v>
          </cell>
          <cell r="D3484" t="str">
            <v>TZS</v>
          </cell>
          <cell r="E3484">
            <v>6.8002691306313015</v>
          </cell>
          <cell r="F3484">
            <v>3.8200000000000003</v>
          </cell>
          <cell r="G3484" t="str">
            <v>TANZANIA, UNITED REPUBLIC OF</v>
          </cell>
          <cell r="H3484">
            <v>6</v>
          </cell>
        </row>
        <row r="3485">
          <cell r="B3485" t="str">
            <v>43585THB</v>
          </cell>
          <cell r="C3485" t="str">
            <v>43585THAILAND</v>
          </cell>
          <cell r="D3485" t="str">
            <v>THB</v>
          </cell>
          <cell r="E3485">
            <v>3.7803451651557332</v>
          </cell>
          <cell r="F3485">
            <v>1.0793333333333333</v>
          </cell>
          <cell r="G3485" t="str">
            <v>THAILAND</v>
          </cell>
          <cell r="H3485">
            <v>5</v>
          </cell>
        </row>
        <row r="3486">
          <cell r="B3486" t="str">
            <v>43585TRY</v>
          </cell>
          <cell r="C3486" t="str">
            <v>43585TURKEY</v>
          </cell>
          <cell r="D3486" t="str">
            <v>TRY</v>
          </cell>
          <cell r="E3486">
            <v>16.429770853725728</v>
          </cell>
          <cell r="F3486">
            <v>16.338000000000001</v>
          </cell>
          <cell r="G3486" t="str">
            <v>TURKEY</v>
          </cell>
          <cell r="H3486">
            <v>6</v>
          </cell>
        </row>
        <row r="3487">
          <cell r="B3487" t="str">
            <v>43585TWD</v>
          </cell>
          <cell r="C3487" t="str">
            <v>43585TAIWAN</v>
          </cell>
          <cell r="D3487" t="str">
            <v>TWD</v>
          </cell>
          <cell r="E3487">
            <v>3.5801257370921693</v>
          </cell>
          <cell r="F3487">
            <v>1.171</v>
          </cell>
          <cell r="G3487" t="str">
            <v>TAIWAN</v>
          </cell>
          <cell r="H3487">
            <v>5</v>
          </cell>
        </row>
        <row r="3488">
          <cell r="B3488" t="str">
            <v>43585UAH</v>
          </cell>
          <cell r="C3488" t="str">
            <v>43585UKRAINE</v>
          </cell>
          <cell r="D3488" t="str">
            <v>UAH</v>
          </cell>
          <cell r="E3488">
            <v>8.1797132781518602</v>
          </cell>
          <cell r="F3488">
            <v>7.3120000000000003</v>
          </cell>
          <cell r="G3488" t="str">
            <v>UKRAINE</v>
          </cell>
          <cell r="H3488">
            <v>6</v>
          </cell>
        </row>
        <row r="3489">
          <cell r="B3489" t="str">
            <v>43585USD</v>
          </cell>
          <cell r="C3489" t="str">
            <v>43585UNITED STATES</v>
          </cell>
          <cell r="D3489" t="str">
            <v>USD</v>
          </cell>
          <cell r="E3489">
            <v>4.5415174186835197</v>
          </cell>
          <cell r="F3489">
            <v>2.2430000000000003</v>
          </cell>
          <cell r="G3489" t="str">
            <v>UNITED STATES</v>
          </cell>
          <cell r="H3489">
            <v>4</v>
          </cell>
        </row>
        <row r="3490">
          <cell r="B3490" t="str">
            <v>43585VND</v>
          </cell>
          <cell r="C3490" t="str">
            <v>43585VIET NAM</v>
          </cell>
          <cell r="D3490" t="str">
            <v>VND</v>
          </cell>
          <cell r="E3490">
            <v>5.667988332548938</v>
          </cell>
          <cell r="F3490">
            <v>3.1606666666666667</v>
          </cell>
          <cell r="G3490" t="str">
            <v>VIET NAM</v>
          </cell>
          <cell r="H3490">
            <v>6</v>
          </cell>
        </row>
        <row r="3491">
          <cell r="B3491" t="str">
            <v>43585XOF</v>
          </cell>
          <cell r="C3491" t="str">
            <v>43585MALI</v>
          </cell>
          <cell r="D3491" t="str">
            <v>XOF</v>
          </cell>
          <cell r="E3491">
            <v>4.3721285274769741</v>
          </cell>
          <cell r="F3491">
            <v>1.8479999999999999</v>
          </cell>
          <cell r="G3491" t="str">
            <v>MALI</v>
          </cell>
          <cell r="H3491">
            <v>6</v>
          </cell>
        </row>
        <row r="3492">
          <cell r="B3492" t="str">
            <v>43585ZAR</v>
          </cell>
          <cell r="C3492" t="str">
            <v>43585SOUTH AFRICA</v>
          </cell>
          <cell r="D3492" t="str">
            <v>ZAR</v>
          </cell>
          <cell r="E3492">
            <v>7.6211879298041776</v>
          </cell>
          <cell r="F3492">
            <v>5.1043333333333338</v>
          </cell>
          <cell r="G3492" t="str">
            <v>SOUTH AFRICA</v>
          </cell>
          <cell r="H3492">
            <v>5</v>
          </cell>
        </row>
        <row r="3493">
          <cell r="B3493" t="str">
            <v>43585ZMW</v>
          </cell>
          <cell r="C3493" t="str">
            <v>43585ZAMBIA</v>
          </cell>
          <cell r="D3493" t="str">
            <v>ZMW</v>
          </cell>
          <cell r="E3493">
            <v>12.847458014096372</v>
          </cell>
          <cell r="F3493">
            <v>11.166666666666668</v>
          </cell>
          <cell r="G3493" t="str">
            <v>ZAMBIA</v>
          </cell>
          <cell r="H3493">
            <v>6</v>
          </cell>
        </row>
        <row r="3494">
          <cell r="B3494" t="str">
            <v>43585EUR1</v>
          </cell>
          <cell r="C3494" t="str">
            <v>43585BELGIUM</v>
          </cell>
          <cell r="D3494" t="str">
            <v>EUR1</v>
          </cell>
          <cell r="E3494">
            <v>3.9251525690515301</v>
          </cell>
          <cell r="F3494">
            <v>0</v>
          </cell>
          <cell r="G3494" t="str">
            <v>BELGIUM</v>
          </cell>
          <cell r="H3494">
            <v>4</v>
          </cell>
        </row>
        <row r="3495">
          <cell r="B3495" t="str">
            <v>43585EUR2</v>
          </cell>
          <cell r="C3495" t="str">
            <v>43585CYPRUS</v>
          </cell>
          <cell r="D3495" t="str">
            <v>EUR2</v>
          </cell>
          <cell r="E3495">
            <v>3.9251525690515301</v>
          </cell>
          <cell r="F3495">
            <v>0</v>
          </cell>
          <cell r="G3495" t="str">
            <v>CYPRUS</v>
          </cell>
          <cell r="H3495">
            <v>5</v>
          </cell>
        </row>
        <row r="3496">
          <cell r="B3496" t="str">
            <v>43585EUR3</v>
          </cell>
          <cell r="C3496" t="str">
            <v>43585ESTONIA</v>
          </cell>
          <cell r="D3496" t="str">
            <v>EUR3</v>
          </cell>
          <cell r="E3496">
            <v>3.9251525690515301</v>
          </cell>
          <cell r="F3496">
            <v>0</v>
          </cell>
          <cell r="G3496" t="str">
            <v>ESTONIA</v>
          </cell>
          <cell r="H3496">
            <v>6</v>
          </cell>
        </row>
        <row r="3497">
          <cell r="B3497" t="str">
            <v>43585EUR4</v>
          </cell>
          <cell r="C3497" t="str">
            <v>43585FINLAND</v>
          </cell>
          <cell r="D3497" t="str">
            <v>EUR4</v>
          </cell>
          <cell r="E3497">
            <v>3.9251525690515301</v>
          </cell>
          <cell r="F3497">
            <v>0</v>
          </cell>
          <cell r="G3497" t="str">
            <v>FINLAND</v>
          </cell>
          <cell r="H3497">
            <v>4</v>
          </cell>
        </row>
        <row r="3498">
          <cell r="B3498" t="str">
            <v>43585EUR5</v>
          </cell>
          <cell r="C3498" t="str">
            <v>43585FRANCE</v>
          </cell>
          <cell r="D3498" t="str">
            <v>EUR5</v>
          </cell>
          <cell r="E3498">
            <v>3.9251525690515301</v>
          </cell>
          <cell r="F3498">
            <v>0</v>
          </cell>
          <cell r="G3498" t="str">
            <v>FRANCE</v>
          </cell>
          <cell r="H3498">
            <v>4</v>
          </cell>
        </row>
        <row r="3499">
          <cell r="B3499" t="str">
            <v>43585EUR6</v>
          </cell>
          <cell r="C3499" t="str">
            <v>43585GERMANY</v>
          </cell>
          <cell r="D3499" t="str">
            <v>EUR6</v>
          </cell>
          <cell r="E3499">
            <v>3.9251525690515301</v>
          </cell>
          <cell r="F3499">
            <v>0</v>
          </cell>
          <cell r="G3499" t="str">
            <v>GERMANY</v>
          </cell>
          <cell r="H3499">
            <v>4.2004966749273862</v>
          </cell>
        </row>
        <row r="3500">
          <cell r="B3500" t="str">
            <v>43585EUR7</v>
          </cell>
          <cell r="C3500" t="str">
            <v>43585GREECE</v>
          </cell>
          <cell r="D3500" t="str">
            <v>EUR7</v>
          </cell>
          <cell r="E3500">
            <v>3.9251525690515301</v>
          </cell>
          <cell r="F3500">
            <v>0</v>
          </cell>
          <cell r="G3500" t="str">
            <v>GREECE</v>
          </cell>
          <cell r="H3500">
            <v>7</v>
          </cell>
        </row>
        <row r="3501">
          <cell r="B3501" t="str">
            <v>43585EUR8</v>
          </cell>
          <cell r="C3501" t="str">
            <v>43585IRELAND</v>
          </cell>
          <cell r="D3501" t="str">
            <v>EUR8</v>
          </cell>
          <cell r="E3501">
            <v>3.9251525690515301</v>
          </cell>
          <cell r="F3501">
            <v>0</v>
          </cell>
          <cell r="G3501" t="str">
            <v>IRELAND</v>
          </cell>
          <cell r="H3501">
            <v>4</v>
          </cell>
        </row>
        <row r="3502">
          <cell r="B3502" t="str">
            <v>43585EUR9</v>
          </cell>
          <cell r="C3502" t="str">
            <v>43585ITALY</v>
          </cell>
          <cell r="D3502" t="str">
            <v>EUR9</v>
          </cell>
          <cell r="E3502">
            <v>3.9251525690515301</v>
          </cell>
          <cell r="F3502">
            <v>0</v>
          </cell>
          <cell r="G3502" t="str">
            <v>ITALY</v>
          </cell>
          <cell r="H3502">
            <v>4.5</v>
          </cell>
        </row>
        <row r="3503">
          <cell r="B3503" t="str">
            <v>43585EUR10</v>
          </cell>
          <cell r="C3503" t="str">
            <v>43585LATVIA</v>
          </cell>
          <cell r="D3503" t="str">
            <v>EUR10</v>
          </cell>
          <cell r="E3503">
            <v>3.9251525690515301</v>
          </cell>
          <cell r="F3503">
            <v>0</v>
          </cell>
          <cell r="G3503" t="str">
            <v>LATVIA</v>
          </cell>
          <cell r="H3503">
            <v>6</v>
          </cell>
        </row>
        <row r="3504">
          <cell r="B3504" t="str">
            <v>43585EUR11</v>
          </cell>
          <cell r="C3504" t="str">
            <v>43585LUXEMBOURG</v>
          </cell>
          <cell r="D3504" t="str">
            <v>EUR11</v>
          </cell>
          <cell r="E3504">
            <v>3.9251525690515301</v>
          </cell>
          <cell r="F3504">
            <v>0</v>
          </cell>
          <cell r="G3504" t="str">
            <v>LUXEMBOURG</v>
          </cell>
          <cell r="H3504">
            <v>4</v>
          </cell>
        </row>
        <row r="3505">
          <cell r="B3505" t="str">
            <v>43585EUR12</v>
          </cell>
          <cell r="C3505" t="str">
            <v>43585MALTA</v>
          </cell>
          <cell r="D3505" t="str">
            <v>EUR12</v>
          </cell>
          <cell r="E3505">
            <v>3.9251525690515301</v>
          </cell>
          <cell r="F3505">
            <v>0</v>
          </cell>
          <cell r="G3505" t="str">
            <v>MALTA</v>
          </cell>
          <cell r="H3505">
            <v>4</v>
          </cell>
        </row>
        <row r="3506">
          <cell r="B3506" t="str">
            <v>43585EUR13</v>
          </cell>
          <cell r="C3506" t="str">
            <v>43585MONTENEGRO</v>
          </cell>
          <cell r="D3506" t="str">
            <v>EUR13</v>
          </cell>
          <cell r="E3506">
            <v>3.9251525690515301</v>
          </cell>
          <cell r="F3506">
            <v>0</v>
          </cell>
          <cell r="G3506" t="str">
            <v>MONTENEGRO</v>
          </cell>
          <cell r="H3506">
            <v>6</v>
          </cell>
        </row>
        <row r="3507">
          <cell r="B3507" t="str">
            <v>43585EUR14</v>
          </cell>
          <cell r="C3507" t="str">
            <v>43585NETHERLANDS</v>
          </cell>
          <cell r="D3507" t="str">
            <v>EUR14</v>
          </cell>
          <cell r="E3507">
            <v>3.9251525690515301</v>
          </cell>
          <cell r="F3507">
            <v>0</v>
          </cell>
          <cell r="G3507" t="str">
            <v>NETHERLANDS</v>
          </cell>
          <cell r="H3507">
            <v>4</v>
          </cell>
        </row>
        <row r="3508">
          <cell r="B3508" t="str">
            <v>43585EUR15</v>
          </cell>
          <cell r="C3508" t="str">
            <v>43585PORTUGAL</v>
          </cell>
          <cell r="D3508" t="str">
            <v>EUR15</v>
          </cell>
          <cell r="E3508">
            <v>3.9251525690515301</v>
          </cell>
          <cell r="F3508">
            <v>0</v>
          </cell>
          <cell r="G3508" t="str">
            <v>PORTUGAL</v>
          </cell>
          <cell r="H3508">
            <v>4</v>
          </cell>
        </row>
        <row r="3509">
          <cell r="B3509" t="str">
            <v>43585EUR16</v>
          </cell>
          <cell r="C3509" t="str">
            <v>43585SLOVAKIA</v>
          </cell>
          <cell r="D3509" t="str">
            <v>EUR16</v>
          </cell>
          <cell r="E3509">
            <v>3.9251525690515301</v>
          </cell>
          <cell r="F3509">
            <v>0</v>
          </cell>
          <cell r="G3509" t="str">
            <v>SLOVAKIA</v>
          </cell>
          <cell r="H3509">
            <v>5</v>
          </cell>
        </row>
        <row r="3510">
          <cell r="B3510" t="str">
            <v>43585EUR17</v>
          </cell>
          <cell r="C3510" t="str">
            <v>43585SLOVENIA</v>
          </cell>
          <cell r="D3510" t="str">
            <v>EUR17</v>
          </cell>
          <cell r="E3510">
            <v>3.9251525690515301</v>
          </cell>
          <cell r="F3510">
            <v>0</v>
          </cell>
          <cell r="G3510" t="str">
            <v>SLOVENIA</v>
          </cell>
          <cell r="H3510">
            <v>6</v>
          </cell>
        </row>
        <row r="3511">
          <cell r="B3511" t="str">
            <v>43585EUR18</v>
          </cell>
          <cell r="C3511" t="str">
            <v>43585SPAIN</v>
          </cell>
          <cell r="D3511" t="str">
            <v>EUR18</v>
          </cell>
          <cell r="E3511">
            <v>3.9251525690515301</v>
          </cell>
          <cell r="F3511">
            <v>0</v>
          </cell>
          <cell r="G3511" t="str">
            <v>SPAIN</v>
          </cell>
          <cell r="H3511">
            <v>4</v>
          </cell>
        </row>
        <row r="3512">
          <cell r="B3512" t="str">
            <v>43585EUR20</v>
          </cell>
          <cell r="C3512" t="str">
            <v>43585AUSTRIA</v>
          </cell>
          <cell r="D3512" t="str">
            <v>EUR20</v>
          </cell>
          <cell r="E3512">
            <v>3.9251525690515301</v>
          </cell>
          <cell r="F3512">
            <v>0</v>
          </cell>
          <cell r="G3512" t="str">
            <v>AUSTRIA</v>
          </cell>
          <cell r="H3512">
            <v>4</v>
          </cell>
        </row>
        <row r="3513">
          <cell r="B3513" t="str">
            <v>43585Eastern European Institutions</v>
          </cell>
          <cell r="C3513" t="str">
            <v>43585Eastern European Institutions</v>
          </cell>
          <cell r="D3513" t="str">
            <v>Eastern European Institutions</v>
          </cell>
          <cell r="E3513">
            <v>0</v>
          </cell>
          <cell r="G3513" t="str">
            <v>Eastern European Institutions</v>
          </cell>
          <cell r="H3513">
            <v>5</v>
          </cell>
        </row>
        <row r="3514">
          <cell r="B3514" t="str">
            <v>43616AED</v>
          </cell>
          <cell r="C3514" t="str">
            <v>43616U. A. E.</v>
          </cell>
          <cell r="D3514" t="str">
            <v>AED</v>
          </cell>
          <cell r="E3514">
            <v>4.346796522070199</v>
          </cell>
          <cell r="F3514">
            <v>2.5790000000000002</v>
          </cell>
          <cell r="G3514" t="str">
            <v>U. A. E.</v>
          </cell>
          <cell r="H3514">
            <v>5</v>
          </cell>
        </row>
        <row r="3515">
          <cell r="B3515" t="str">
            <v>43616ARS</v>
          </cell>
          <cell r="C3515" t="str">
            <v>43616ARGENTINA</v>
          </cell>
          <cell r="D3515" t="str">
            <v>ARS</v>
          </cell>
          <cell r="E3515">
            <v>22.923999074959816</v>
          </cell>
          <cell r="F3515">
            <v>36.864000000000004</v>
          </cell>
          <cell r="G3515" t="str">
            <v>ARGENTINA</v>
          </cell>
          <cell r="H3515">
            <v>9</v>
          </cell>
        </row>
        <row r="3516">
          <cell r="B3516" t="str">
            <v>43616AUD</v>
          </cell>
          <cell r="C3516" t="str">
            <v>43616AUSTRALIA</v>
          </cell>
          <cell r="D3516" t="str">
            <v>AUD</v>
          </cell>
          <cell r="E3516">
            <v>4.6146082417236647</v>
          </cell>
          <cell r="F3516">
            <v>2.101</v>
          </cell>
          <cell r="G3516" t="str">
            <v>AUSTRALIA</v>
          </cell>
          <cell r="H3516">
            <v>3.5953800448637798</v>
          </cell>
        </row>
        <row r="3517">
          <cell r="B3517" t="str">
            <v>43616BDT</v>
          </cell>
          <cell r="C3517" t="str">
            <v>43616BANGLADESH</v>
          </cell>
          <cell r="D3517" t="str">
            <v>BDT</v>
          </cell>
          <cell r="E3517">
            <v>7.7073896020150947</v>
          </cell>
          <cell r="F3517">
            <v>5.3959999999999999</v>
          </cell>
          <cell r="G3517" t="str">
            <v>BANGLADESH</v>
          </cell>
          <cell r="H3517">
            <v>6</v>
          </cell>
        </row>
        <row r="3518">
          <cell r="B3518" t="str">
            <v>43616BRL</v>
          </cell>
          <cell r="C3518" t="str">
            <v>43616BRAZIL</v>
          </cell>
          <cell r="D3518" t="str">
            <v>BRL</v>
          </cell>
          <cell r="E3518">
            <v>6.1634453522755352</v>
          </cell>
          <cell r="F3518">
            <v>3.7316666666666665</v>
          </cell>
          <cell r="G3518" t="str">
            <v>BRAZIL</v>
          </cell>
          <cell r="H3518">
            <v>6</v>
          </cell>
        </row>
        <row r="3519">
          <cell r="B3519" t="str">
            <v>43616BWP</v>
          </cell>
          <cell r="C3519" t="str">
            <v>43616BOTSWANA</v>
          </cell>
          <cell r="D3519" t="str">
            <v>BWP</v>
          </cell>
          <cell r="E3519">
            <v>6.0931233614718563</v>
          </cell>
          <cell r="F3519">
            <v>3.6773333333333333</v>
          </cell>
          <cell r="G3519" t="str">
            <v>BOTSWANA</v>
          </cell>
          <cell r="H3519">
            <v>6</v>
          </cell>
        </row>
        <row r="3520">
          <cell r="B3520" t="str">
            <v>43616CAD</v>
          </cell>
          <cell r="C3520" t="str">
            <v>43616CANADA</v>
          </cell>
          <cell r="D3520" t="str">
            <v>CAD</v>
          </cell>
          <cell r="E3520">
            <v>4.2340610758947941</v>
          </cell>
          <cell r="F3520">
            <v>1.7716666666666667</v>
          </cell>
          <cell r="G3520" t="str">
            <v>CANADA</v>
          </cell>
          <cell r="H3520">
            <v>4</v>
          </cell>
        </row>
        <row r="3521">
          <cell r="B3521" t="str">
            <v>43616CHF</v>
          </cell>
          <cell r="C3521" t="str">
            <v>43616SWITZERLAND</v>
          </cell>
          <cell r="D3521" t="str">
            <v>CHF</v>
          </cell>
          <cell r="E3521">
            <v>3.2033704435821244</v>
          </cell>
          <cell r="F3521">
            <v>0.85666666666666669</v>
          </cell>
          <cell r="G3521" t="str">
            <v>SWITZERLAND</v>
          </cell>
          <cell r="H3521">
            <v>4</v>
          </cell>
        </row>
        <row r="3522">
          <cell r="B3522" t="str">
            <v>43616CLP</v>
          </cell>
          <cell r="C3522" t="str">
            <v>43616CHILE</v>
          </cell>
          <cell r="D3522" t="str">
            <v>CLP</v>
          </cell>
          <cell r="E3522">
            <v>5.1110628904951918</v>
          </cell>
          <cell r="F3522">
            <v>2.5466666666666664</v>
          </cell>
          <cell r="G3522" t="str">
            <v>CHILE</v>
          </cell>
          <cell r="H3522">
            <v>5</v>
          </cell>
        </row>
        <row r="3523">
          <cell r="B3523" t="str">
            <v>43616CNY</v>
          </cell>
          <cell r="C3523" t="str">
            <v>43616CHINA</v>
          </cell>
          <cell r="D3523" t="str">
            <v>CNY</v>
          </cell>
          <cell r="E3523">
            <v>4.9466537683885461</v>
          </cell>
          <cell r="F3523">
            <v>2.3543333333333334</v>
          </cell>
          <cell r="G3523" t="str">
            <v>CHINA</v>
          </cell>
          <cell r="H3523">
            <v>7</v>
          </cell>
        </row>
        <row r="3524">
          <cell r="B3524" t="str">
            <v>43616COP</v>
          </cell>
          <cell r="C3524" t="str">
            <v>43616COLOMBIA</v>
          </cell>
          <cell r="D3524" t="str">
            <v>COP</v>
          </cell>
          <cell r="E3524">
            <v>5.3809269186441391</v>
          </cell>
          <cell r="F3524">
            <v>3.2943333333333333</v>
          </cell>
          <cell r="G3524" t="str">
            <v>COLOMBIA</v>
          </cell>
          <cell r="H3524">
            <v>5</v>
          </cell>
        </row>
        <row r="3525">
          <cell r="B3525" t="str">
            <v>43616CZK</v>
          </cell>
          <cell r="C3525" t="str">
            <v>43616CZECH REPUBLIC</v>
          </cell>
          <cell r="D3525" t="str">
            <v>CZK</v>
          </cell>
          <cell r="E3525">
            <v>4.3147178224534324</v>
          </cell>
          <cell r="F3525">
            <v>2.2159999999999997</v>
          </cell>
          <cell r="G3525" t="str">
            <v>CZECH REPUBLIC</v>
          </cell>
          <cell r="H3525">
            <v>5</v>
          </cell>
        </row>
        <row r="3526">
          <cell r="B3526" t="str">
            <v>43616DKK</v>
          </cell>
          <cell r="C3526" t="str">
            <v>43616DENMARK</v>
          </cell>
          <cell r="D3526" t="str">
            <v>DKK</v>
          </cell>
          <cell r="E3526">
            <v>3.7894761680130875</v>
          </cell>
          <cell r="F3526">
            <v>1.1666666666666667</v>
          </cell>
          <cell r="G3526" t="str">
            <v>DENMARK</v>
          </cell>
          <cell r="H3526">
            <v>4</v>
          </cell>
        </row>
        <row r="3527">
          <cell r="B3527" t="str">
            <v>43616EGP</v>
          </cell>
          <cell r="C3527" t="str">
            <v>43616EGYPT</v>
          </cell>
          <cell r="D3527" t="str">
            <v>EGP</v>
          </cell>
          <cell r="E3527">
            <v>11.994805698767722</v>
          </cell>
          <cell r="F3527">
            <v>13.774999999999999</v>
          </cell>
          <cell r="G3527" t="str">
            <v>EGYPT</v>
          </cell>
          <cell r="H3527">
            <v>5</v>
          </cell>
        </row>
        <row r="3528">
          <cell r="B3528" t="str">
            <v>43616EUR</v>
          </cell>
          <cell r="D3528" t="str">
            <v>EUR</v>
          </cell>
          <cell r="E3528">
            <v>3.9251525690515301</v>
          </cell>
          <cell r="F3528">
            <v>1.3956666666666666</v>
          </cell>
          <cell r="H3528">
            <v>0</v>
          </cell>
        </row>
        <row r="3529">
          <cell r="B3529" t="str">
            <v>43616GBP</v>
          </cell>
          <cell r="C3529" t="str">
            <v>43616UNITED KINGDOM</v>
          </cell>
          <cell r="D3529" t="str">
            <v>GBP</v>
          </cell>
          <cell r="E3529">
            <v>4.223177142787752</v>
          </cell>
          <cell r="F3529">
            <v>1.8929999999999998</v>
          </cell>
          <cell r="G3529" t="str">
            <v>UNITED KINGDOM</v>
          </cell>
          <cell r="H3529">
            <v>4</v>
          </cell>
        </row>
        <row r="3530">
          <cell r="B3530" t="str">
            <v>43616GEL</v>
          </cell>
          <cell r="C3530" t="str">
            <v>43616GEORGIA</v>
          </cell>
          <cell r="D3530" t="str">
            <v>GEL</v>
          </cell>
          <cell r="E3530">
            <v>5.1568100533515828</v>
          </cell>
          <cell r="F3530">
            <v>2.6776666666666666</v>
          </cell>
          <cell r="G3530" t="str">
            <v>GEORGIA</v>
          </cell>
          <cell r="H3530">
            <v>6</v>
          </cell>
        </row>
        <row r="3531">
          <cell r="B3531" t="str">
            <v>43616HKD</v>
          </cell>
          <cell r="C3531" t="str">
            <v>43616HONG KONG</v>
          </cell>
          <cell r="D3531" t="str">
            <v>HKD</v>
          </cell>
          <cell r="E3531">
            <v>4.7099882865874445</v>
          </cell>
          <cell r="F3531">
            <v>2.5790000000000002</v>
          </cell>
          <cell r="G3531" t="str">
            <v>HONG KONG</v>
          </cell>
          <cell r="H3531">
            <v>4</v>
          </cell>
        </row>
        <row r="3532">
          <cell r="B3532" t="str">
            <v>43616GHS</v>
          </cell>
          <cell r="C3532" t="str">
            <v>43616GHANA</v>
          </cell>
          <cell r="D3532" t="str">
            <v>GHS</v>
          </cell>
          <cell r="E3532">
            <v>9.8298960073114365</v>
          </cell>
          <cell r="F3532">
            <v>8.8306666666666658</v>
          </cell>
          <cell r="G3532" t="str">
            <v>GHANA</v>
          </cell>
          <cell r="H3532">
            <v>6</v>
          </cell>
        </row>
        <row r="3533">
          <cell r="B3533" t="str">
            <v>43616HRK</v>
          </cell>
          <cell r="C3533" t="str">
            <v>43616CROATIA</v>
          </cell>
          <cell r="D3533" t="str">
            <v>HRK</v>
          </cell>
          <cell r="E3533">
            <v>3.9448913304420499</v>
          </cell>
          <cell r="F3533">
            <v>1.5166666666666666</v>
          </cell>
          <cell r="G3533" t="str">
            <v>CROATIA</v>
          </cell>
          <cell r="H3533">
            <v>6</v>
          </cell>
        </row>
        <row r="3534">
          <cell r="B3534" t="str">
            <v>43616HUF</v>
          </cell>
          <cell r="C3534" t="str">
            <v>43616HUNGARY</v>
          </cell>
          <cell r="D3534" t="str">
            <v>HUF</v>
          </cell>
          <cell r="E3534">
            <v>5.295753082330549</v>
          </cell>
          <cell r="F3534">
            <v>3.1723333333333334</v>
          </cell>
          <cell r="G3534" t="str">
            <v>HUNGARY</v>
          </cell>
          <cell r="H3534">
            <v>5</v>
          </cell>
        </row>
        <row r="3535">
          <cell r="B3535" t="str">
            <v>43616IDR</v>
          </cell>
          <cell r="C3535" t="str">
            <v>43616INDONESIA</v>
          </cell>
          <cell r="D3535" t="str">
            <v>IDR</v>
          </cell>
          <cell r="E3535">
            <v>5.5034015891384049</v>
          </cell>
          <cell r="F3535">
            <v>3.4139999999999997</v>
          </cell>
          <cell r="G3535" t="str">
            <v>INDONESIA</v>
          </cell>
          <cell r="H3535">
            <v>5</v>
          </cell>
        </row>
        <row r="3536">
          <cell r="B3536" t="str">
            <v>43616ILS</v>
          </cell>
          <cell r="C3536" t="str">
            <v>43616ISRAEL</v>
          </cell>
          <cell r="D3536" t="str">
            <v>ILS</v>
          </cell>
          <cell r="E3536">
            <v>3.9592815720316068</v>
          </cell>
          <cell r="F3536">
            <v>1.1473333333333333</v>
          </cell>
          <cell r="G3536" t="str">
            <v>ISRAEL</v>
          </cell>
          <cell r="H3536">
            <v>4</v>
          </cell>
        </row>
        <row r="3537">
          <cell r="B3537" t="str">
            <v>43616INR</v>
          </cell>
          <cell r="C3537" t="str">
            <v>43616INDIA</v>
          </cell>
          <cell r="D3537" t="str">
            <v>INR</v>
          </cell>
          <cell r="E3537">
            <v>6.3745142382841271</v>
          </cell>
          <cell r="F3537">
            <v>4.0030000000000001</v>
          </cell>
          <cell r="G3537" t="str">
            <v>INDIA</v>
          </cell>
          <cell r="H3537">
            <v>5</v>
          </cell>
        </row>
        <row r="3538">
          <cell r="B3538" t="str">
            <v>43616IQD</v>
          </cell>
          <cell r="C3538" t="str">
            <v>43616IRAQ</v>
          </cell>
          <cell r="D3538" t="str">
            <v>IQD</v>
          </cell>
          <cell r="E3538">
            <v>4.2500000000000018</v>
          </cell>
          <cell r="F3538">
            <v>2</v>
          </cell>
          <cell r="G3538" t="str">
            <v>IRAQ</v>
          </cell>
          <cell r="H3538">
            <v>6</v>
          </cell>
        </row>
        <row r="3539">
          <cell r="B3539" t="str">
            <v>43616JPY</v>
          </cell>
          <cell r="C3539" t="str">
            <v>43616JAPAN</v>
          </cell>
          <cell r="D3539" t="str">
            <v>JPY</v>
          </cell>
          <cell r="E3539">
            <v>3.5052595237571573</v>
          </cell>
          <cell r="F3539">
            <v>1.2256666666666667</v>
          </cell>
          <cell r="G3539" t="str">
            <v>JAPAN</v>
          </cell>
          <cell r="H3539">
            <v>4</v>
          </cell>
        </row>
        <row r="3540">
          <cell r="B3540" t="str">
            <v>43616KES</v>
          </cell>
          <cell r="C3540" t="str">
            <v>43616KENYA</v>
          </cell>
          <cell r="D3540" t="str">
            <v>KES</v>
          </cell>
          <cell r="E3540">
            <v>7.1305284338347965</v>
          </cell>
          <cell r="F3540">
            <v>4.6026666666666669</v>
          </cell>
          <cell r="G3540" t="str">
            <v>KENYA</v>
          </cell>
          <cell r="H3540">
            <v>7.5</v>
          </cell>
        </row>
        <row r="3541">
          <cell r="B3541" t="str">
            <v>43616JOD</v>
          </cell>
          <cell r="C3541" t="str">
            <v>43616JORDAN</v>
          </cell>
          <cell r="D3541" t="str">
            <v>JOD</v>
          </cell>
          <cell r="E3541">
            <v>4.6634102286304859</v>
          </cell>
          <cell r="F3541">
            <v>2.5790000000000002</v>
          </cell>
          <cell r="G3541" t="str">
            <v>JORDAN</v>
          </cell>
          <cell r="H3541">
            <v>6</v>
          </cell>
        </row>
        <row r="3542">
          <cell r="B3542" t="str">
            <v>43616KHR</v>
          </cell>
          <cell r="C3542" t="str">
            <v>43616CAMBODIA</v>
          </cell>
          <cell r="D3542" t="str">
            <v>KHR</v>
          </cell>
          <cell r="E3542">
            <v>5.1178522888126778</v>
          </cell>
          <cell r="F3542">
            <v>2.6389999999999998</v>
          </cell>
          <cell r="G3542" t="str">
            <v>CAMBODIA</v>
          </cell>
          <cell r="H3542">
            <v>6</v>
          </cell>
        </row>
        <row r="3543">
          <cell r="B3543" t="str">
            <v>43616KRW</v>
          </cell>
          <cell r="C3543" t="str">
            <v>43616KOREA SOUTH(REPUBLIC OF KOREA)</v>
          </cell>
          <cell r="D3543" t="str">
            <v>KRW</v>
          </cell>
          <cell r="E3543">
            <v>3.9100165701703196</v>
          </cell>
          <cell r="F3543">
            <v>1.4173333333333333</v>
          </cell>
          <cell r="G3543" t="str">
            <v>KOREA SOUTH(REPUBLIC OF KOREA)</v>
          </cell>
          <cell r="H3543">
            <v>5</v>
          </cell>
        </row>
        <row r="3544">
          <cell r="B3544" t="str">
            <v>43616KWD</v>
          </cell>
          <cell r="C3544" t="str">
            <v>43616KUWAIT</v>
          </cell>
          <cell r="D3544" t="str">
            <v>KWD</v>
          </cell>
          <cell r="E3544">
            <v>5.6067280783844078</v>
          </cell>
          <cell r="F3544">
            <v>2.5666666666666669</v>
          </cell>
          <cell r="G3544" t="str">
            <v>KUWAIT</v>
          </cell>
          <cell r="H3544">
            <v>6</v>
          </cell>
        </row>
        <row r="3545">
          <cell r="B3545" t="str">
            <v>43616LKR</v>
          </cell>
          <cell r="C3545" t="str">
            <v>43616SRI LANKA</v>
          </cell>
          <cell r="D3545" t="str">
            <v>LKR</v>
          </cell>
          <cell r="E3545">
            <v>6.9598835116329063</v>
          </cell>
          <cell r="F3545">
            <v>4.5333333333333332</v>
          </cell>
          <cell r="G3545" t="str">
            <v>SRI LANKA</v>
          </cell>
          <cell r="H3545">
            <v>6</v>
          </cell>
        </row>
        <row r="3546">
          <cell r="B3546" t="str">
            <v>43616KZT</v>
          </cell>
          <cell r="C3546" t="str">
            <v>43616KAZAKHSTAN</v>
          </cell>
          <cell r="D3546" t="str">
            <v>KZT</v>
          </cell>
          <cell r="E3546">
            <v>6.8686921914282308</v>
          </cell>
          <cell r="F3546">
            <v>5.3006666666666673</v>
          </cell>
          <cell r="G3546" t="str">
            <v>KAZAKHSTAN</v>
          </cell>
          <cell r="H3546">
            <v>6</v>
          </cell>
        </row>
        <row r="3547">
          <cell r="B3547" t="str">
            <v>43616MAD</v>
          </cell>
          <cell r="C3547" t="str">
            <v>43616MOROCCO</v>
          </cell>
          <cell r="D3547" t="str">
            <v>MAD</v>
          </cell>
          <cell r="E3547">
            <v>4.1297166463972115</v>
          </cell>
          <cell r="F3547">
            <v>1.5999999999999999</v>
          </cell>
          <cell r="G3547" t="str">
            <v>MOROCCO</v>
          </cell>
          <cell r="H3547">
            <v>6</v>
          </cell>
        </row>
        <row r="3548">
          <cell r="B3548" t="str">
            <v>43616MXN</v>
          </cell>
          <cell r="C3548" t="str">
            <v>43616MEXICO</v>
          </cell>
          <cell r="D3548" t="str">
            <v>MXN</v>
          </cell>
          <cell r="E3548">
            <v>5.4325212139813486</v>
          </cell>
          <cell r="F3548">
            <v>3.5739999999999998</v>
          </cell>
          <cell r="G3548" t="str">
            <v>MEXICO</v>
          </cell>
          <cell r="H3548">
            <v>7</v>
          </cell>
        </row>
        <row r="3549">
          <cell r="B3549" t="str">
            <v>43616MYR</v>
          </cell>
          <cell r="C3549" t="str">
            <v>43616MALAYSIA</v>
          </cell>
          <cell r="D3549" t="str">
            <v>MYR</v>
          </cell>
          <cell r="E3549">
            <v>4.607412777871537</v>
          </cell>
          <cell r="F3549">
            <v>2.1839999999999997</v>
          </cell>
          <cell r="G3549" t="str">
            <v>MALAYSIA</v>
          </cell>
          <cell r="H3549">
            <v>5</v>
          </cell>
        </row>
        <row r="3550">
          <cell r="B3550" t="str">
            <v>43616NGN</v>
          </cell>
          <cell r="C3550" t="str">
            <v>43616NIGERIA</v>
          </cell>
          <cell r="D3550" t="str">
            <v>NGN</v>
          </cell>
          <cell r="E3550">
            <v>13.705568126780701</v>
          </cell>
          <cell r="F3550">
            <v>11.710666666666668</v>
          </cell>
          <cell r="G3550" t="str">
            <v>NIGERIA</v>
          </cell>
          <cell r="H3550">
            <v>6</v>
          </cell>
        </row>
        <row r="3551">
          <cell r="B3551" t="str">
            <v>43616NOK</v>
          </cell>
          <cell r="C3551" t="str">
            <v>43616NORWAY</v>
          </cell>
          <cell r="D3551" t="str">
            <v>NOK</v>
          </cell>
          <cell r="E3551">
            <v>4.1399391226501638</v>
          </cell>
          <cell r="F3551">
            <v>1.8333333333333333</v>
          </cell>
          <cell r="G3551" t="str">
            <v>NORWAY</v>
          </cell>
          <cell r="H3551">
            <v>4</v>
          </cell>
        </row>
        <row r="3552">
          <cell r="B3552" t="str">
            <v>43616NZD</v>
          </cell>
          <cell r="C3552" t="str">
            <v>43616NEW ZEALAND</v>
          </cell>
          <cell r="D3552" t="str">
            <v>NZD</v>
          </cell>
          <cell r="E3552">
            <v>4.2377944332597153</v>
          </cell>
          <cell r="F3552">
            <v>1.9496666666666669</v>
          </cell>
          <cell r="G3552" t="str">
            <v>NEW ZEALAND</v>
          </cell>
          <cell r="H3552">
            <v>4</v>
          </cell>
        </row>
        <row r="3553">
          <cell r="B3553" t="str">
            <v>43616OMR</v>
          </cell>
          <cell r="C3553" t="str">
            <v>43616OMAN</v>
          </cell>
          <cell r="D3553" t="str">
            <v>OMR</v>
          </cell>
          <cell r="E3553">
            <v>4.9061483258207952</v>
          </cell>
          <cell r="F3553">
            <v>2.5790000000000002</v>
          </cell>
          <cell r="G3553" t="str">
            <v>OMAN</v>
          </cell>
          <cell r="H3553">
            <v>6</v>
          </cell>
        </row>
        <row r="3554">
          <cell r="B3554" t="str">
            <v>43616PEN</v>
          </cell>
          <cell r="C3554" t="str">
            <v>43616PERU</v>
          </cell>
          <cell r="D3554" t="str">
            <v>PEN</v>
          </cell>
          <cell r="E3554">
            <v>4.3158710633359556</v>
          </cell>
          <cell r="F3554">
            <v>2.2586666666666666</v>
          </cell>
          <cell r="G3554" t="str">
            <v>PERU</v>
          </cell>
          <cell r="H3554">
            <v>5</v>
          </cell>
        </row>
        <row r="3555">
          <cell r="B3555" t="str">
            <v>43616PGK</v>
          </cell>
          <cell r="C3555" t="str">
            <v>43616PAPUA NEW GUINEA</v>
          </cell>
          <cell r="D3555" t="str">
            <v>PGK</v>
          </cell>
          <cell r="E3555">
            <v>6.7496934859149462</v>
          </cell>
          <cell r="F3555">
            <v>4.4333333333333336</v>
          </cell>
          <cell r="G3555" t="str">
            <v>PAPUA NEW GUINEA</v>
          </cell>
          <cell r="H3555">
            <v>6</v>
          </cell>
        </row>
        <row r="3556">
          <cell r="B3556" t="str">
            <v>43616PHP</v>
          </cell>
          <cell r="C3556" t="str">
            <v>43616PHILIPPINES</v>
          </cell>
          <cell r="D3556" t="str">
            <v>PHP</v>
          </cell>
          <cell r="E3556">
            <v>5.483111396491517</v>
          </cell>
          <cell r="F3556">
            <v>3.649</v>
          </cell>
          <cell r="G3556" t="str">
            <v>PHILIPPINES</v>
          </cell>
          <cell r="H3556">
            <v>5</v>
          </cell>
        </row>
        <row r="3557">
          <cell r="B3557" t="str">
            <v>43616PKR</v>
          </cell>
          <cell r="C3557" t="str">
            <v>43616PAKISTAN</v>
          </cell>
          <cell r="D3557" t="str">
            <v>PKR</v>
          </cell>
          <cell r="E3557">
            <v>8.1693510550297859</v>
          </cell>
          <cell r="F3557">
            <v>7.4239999999999995</v>
          </cell>
          <cell r="G3557" t="str">
            <v>PAKISTAN</v>
          </cell>
          <cell r="H3557">
            <v>6</v>
          </cell>
        </row>
        <row r="3558">
          <cell r="B3558" t="str">
            <v>43616PLN</v>
          </cell>
          <cell r="C3558" t="str">
            <v>43616POLAND</v>
          </cell>
          <cell r="D3558" t="str">
            <v>PLN</v>
          </cell>
          <cell r="E3558">
            <v>4.2855420633547672</v>
          </cell>
          <cell r="F3558">
            <v>1.9436666666666667</v>
          </cell>
          <cell r="G3558" t="str">
            <v>POLAND</v>
          </cell>
          <cell r="H3558">
            <v>5</v>
          </cell>
        </row>
        <row r="3559">
          <cell r="B3559" t="str">
            <v>43616QAR</v>
          </cell>
          <cell r="C3559" t="str">
            <v>43616QATAR</v>
          </cell>
          <cell r="D3559" t="str">
            <v>QAR</v>
          </cell>
          <cell r="E3559">
            <v>4.2799466177152503</v>
          </cell>
          <cell r="F3559">
            <v>2.5790000000000002</v>
          </cell>
          <cell r="G3559" t="str">
            <v>QATAR</v>
          </cell>
          <cell r="H3559">
            <v>5</v>
          </cell>
        </row>
        <row r="3560">
          <cell r="B3560" t="str">
            <v>43616RON</v>
          </cell>
          <cell r="C3560" t="str">
            <v>43616ROMANIA</v>
          </cell>
          <cell r="D3560" t="str">
            <v>RON</v>
          </cell>
          <cell r="E3560">
            <v>5.0694371513165617</v>
          </cell>
          <cell r="F3560">
            <v>3.1673333333333331</v>
          </cell>
          <cell r="G3560" t="str">
            <v>ROMANIA</v>
          </cell>
          <cell r="H3560">
            <v>6</v>
          </cell>
        </row>
        <row r="3561">
          <cell r="B3561" t="str">
            <v>43616RUB</v>
          </cell>
          <cell r="C3561" t="str">
            <v>43616RUSSIAN FEDERATION</v>
          </cell>
          <cell r="D3561" t="str">
            <v>RUB</v>
          </cell>
          <cell r="E3561">
            <v>6.6113827983255193</v>
          </cell>
          <cell r="F3561">
            <v>4.833333333333333</v>
          </cell>
          <cell r="G3561" t="str">
            <v>RUSSIAN FEDERATION</v>
          </cell>
          <cell r="H3561">
            <v>7</v>
          </cell>
        </row>
        <row r="3562">
          <cell r="B3562" t="str">
            <v>43616SAR</v>
          </cell>
          <cell r="C3562" t="str">
            <v>43616SAUDI ARABIA</v>
          </cell>
          <cell r="D3562" t="str">
            <v>SAR</v>
          </cell>
          <cell r="E3562">
            <v>3.8133695635085543</v>
          </cell>
          <cell r="F3562">
            <v>2.5790000000000002</v>
          </cell>
          <cell r="G3562" t="str">
            <v>SAUDI ARABIA</v>
          </cell>
          <cell r="H3562">
            <v>6</v>
          </cell>
        </row>
        <row r="3563">
          <cell r="B3563" t="str">
            <v>43616SEK</v>
          </cell>
          <cell r="C3563" t="str">
            <v>43616SWEDEN</v>
          </cell>
          <cell r="D3563" t="str">
            <v>SEK</v>
          </cell>
          <cell r="E3563">
            <v>4.1371334141280283</v>
          </cell>
          <cell r="F3563">
            <v>1.7956666666666665</v>
          </cell>
          <cell r="G3563" t="str">
            <v>SWEDEN</v>
          </cell>
          <cell r="H3563">
            <v>4</v>
          </cell>
        </row>
        <row r="3564">
          <cell r="B3564" t="str">
            <v>43616SGD</v>
          </cell>
          <cell r="C3564" t="str">
            <v>43616SINGAPORE</v>
          </cell>
          <cell r="D3564" t="str">
            <v>SGD</v>
          </cell>
          <cell r="E3564">
            <v>3.6213953428887704</v>
          </cell>
          <cell r="F3564">
            <v>1.3499999999999999</v>
          </cell>
          <cell r="G3564" t="str">
            <v>SINGAPORE</v>
          </cell>
          <cell r="H3564">
            <v>4</v>
          </cell>
        </row>
        <row r="3565">
          <cell r="B3565" t="str">
            <v>43616TZS</v>
          </cell>
          <cell r="C3565" t="str">
            <v>43616TANZANIA, UNITED REPUBLIC OF</v>
          </cell>
          <cell r="D3565" t="str">
            <v>TZS</v>
          </cell>
          <cell r="E3565">
            <v>6.8002691306313015</v>
          </cell>
          <cell r="F3565">
            <v>3.8200000000000003</v>
          </cell>
          <cell r="G3565" t="str">
            <v>TANZANIA, UNITED REPUBLIC OF</v>
          </cell>
          <cell r="H3565">
            <v>6</v>
          </cell>
        </row>
        <row r="3566">
          <cell r="B3566" t="str">
            <v>43616THB</v>
          </cell>
          <cell r="C3566" t="str">
            <v>43616THAILAND</v>
          </cell>
          <cell r="D3566" t="str">
            <v>THB</v>
          </cell>
          <cell r="E3566">
            <v>3.7803451651557332</v>
          </cell>
          <cell r="F3566">
            <v>1.0793333333333333</v>
          </cell>
          <cell r="G3566" t="str">
            <v>THAILAND</v>
          </cell>
          <cell r="H3566">
            <v>5</v>
          </cell>
        </row>
        <row r="3567">
          <cell r="B3567" t="str">
            <v>43616TRY</v>
          </cell>
          <cell r="C3567" t="str">
            <v>43616TURKEY</v>
          </cell>
          <cell r="D3567" t="str">
            <v>TRY</v>
          </cell>
          <cell r="E3567">
            <v>16.429770853725728</v>
          </cell>
          <cell r="F3567">
            <v>16.338000000000001</v>
          </cell>
          <cell r="G3567" t="str">
            <v>TURKEY</v>
          </cell>
          <cell r="H3567">
            <v>6</v>
          </cell>
        </row>
        <row r="3568">
          <cell r="B3568" t="str">
            <v>43616TWD</v>
          </cell>
          <cell r="C3568" t="str">
            <v>43616TAIWAN</v>
          </cell>
          <cell r="D3568" t="str">
            <v>TWD</v>
          </cell>
          <cell r="E3568">
            <v>3.5801257370921693</v>
          </cell>
          <cell r="F3568">
            <v>1.171</v>
          </cell>
          <cell r="G3568" t="str">
            <v>TAIWAN</v>
          </cell>
          <cell r="H3568">
            <v>5</v>
          </cell>
        </row>
        <row r="3569">
          <cell r="B3569" t="str">
            <v>43616UAH</v>
          </cell>
          <cell r="C3569" t="str">
            <v>43616UKRAINE</v>
          </cell>
          <cell r="D3569" t="str">
            <v>UAH</v>
          </cell>
          <cell r="E3569">
            <v>8.1797132781518602</v>
          </cell>
          <cell r="F3569">
            <v>7.3120000000000003</v>
          </cell>
          <cell r="G3569" t="str">
            <v>UKRAINE</v>
          </cell>
          <cell r="H3569">
            <v>6</v>
          </cell>
        </row>
        <row r="3570">
          <cell r="B3570" t="str">
            <v>43616USD</v>
          </cell>
          <cell r="C3570" t="str">
            <v>43616UNITED STATES</v>
          </cell>
          <cell r="D3570" t="str">
            <v>USD</v>
          </cell>
          <cell r="E3570">
            <v>4.5415174186835197</v>
          </cell>
          <cell r="F3570">
            <v>2.2430000000000003</v>
          </cell>
          <cell r="G3570" t="str">
            <v>UNITED STATES</v>
          </cell>
          <cell r="H3570">
            <v>4</v>
          </cell>
        </row>
        <row r="3571">
          <cell r="B3571" t="str">
            <v>43616VND</v>
          </cell>
          <cell r="C3571" t="str">
            <v>43616VIET NAM</v>
          </cell>
          <cell r="D3571" t="str">
            <v>VND</v>
          </cell>
          <cell r="E3571">
            <v>5.667988332548938</v>
          </cell>
          <cell r="F3571">
            <v>3.1606666666666667</v>
          </cell>
          <cell r="G3571" t="str">
            <v>VIET NAM</v>
          </cell>
          <cell r="H3571">
            <v>6</v>
          </cell>
        </row>
        <row r="3572">
          <cell r="B3572" t="str">
            <v>43616XOF</v>
          </cell>
          <cell r="C3572" t="str">
            <v>43616MALI</v>
          </cell>
          <cell r="D3572" t="str">
            <v>XOF</v>
          </cell>
          <cell r="E3572">
            <v>4.3721285274769741</v>
          </cell>
          <cell r="F3572">
            <v>1.8479999999999999</v>
          </cell>
          <cell r="G3572" t="str">
            <v>MALI</v>
          </cell>
          <cell r="H3572">
            <v>6</v>
          </cell>
        </row>
        <row r="3573">
          <cell r="B3573" t="str">
            <v>43616ZAR</v>
          </cell>
          <cell r="C3573" t="str">
            <v>43616SOUTH AFRICA</v>
          </cell>
          <cell r="D3573" t="str">
            <v>ZAR</v>
          </cell>
          <cell r="E3573">
            <v>7.6211879298041776</v>
          </cell>
          <cell r="F3573">
            <v>5.1043333333333338</v>
          </cell>
          <cell r="G3573" t="str">
            <v>SOUTH AFRICA</v>
          </cell>
          <cell r="H3573">
            <v>5</v>
          </cell>
        </row>
        <row r="3574">
          <cell r="B3574" t="str">
            <v>43616ZMW</v>
          </cell>
          <cell r="C3574" t="str">
            <v>43616ZAMBIA</v>
          </cell>
          <cell r="D3574" t="str">
            <v>ZMW</v>
          </cell>
          <cell r="E3574">
            <v>12.847458014096372</v>
          </cell>
          <cell r="F3574">
            <v>11.166666666666668</v>
          </cell>
          <cell r="G3574" t="str">
            <v>ZAMBIA</v>
          </cell>
          <cell r="H3574">
            <v>6</v>
          </cell>
        </row>
        <row r="3575">
          <cell r="B3575" t="str">
            <v>43616EUR1</v>
          </cell>
          <cell r="C3575" t="str">
            <v>43616BELGIUM</v>
          </cell>
          <cell r="D3575" t="str">
            <v>EUR1</v>
          </cell>
          <cell r="E3575">
            <v>3.9251525690515301</v>
          </cell>
          <cell r="F3575">
            <v>0</v>
          </cell>
          <cell r="G3575" t="str">
            <v>BELGIUM</v>
          </cell>
          <cell r="H3575">
            <v>4</v>
          </cell>
        </row>
        <row r="3576">
          <cell r="B3576" t="str">
            <v>43616EUR2</v>
          </cell>
          <cell r="C3576" t="str">
            <v>43616CYPRUS</v>
          </cell>
          <cell r="D3576" t="str">
            <v>EUR2</v>
          </cell>
          <cell r="E3576">
            <v>3.9251525690515301</v>
          </cell>
          <cell r="F3576">
            <v>0</v>
          </cell>
          <cell r="G3576" t="str">
            <v>CYPRUS</v>
          </cell>
          <cell r="H3576">
            <v>5</v>
          </cell>
        </row>
        <row r="3577">
          <cell r="B3577" t="str">
            <v>43616EUR3</v>
          </cell>
          <cell r="C3577" t="str">
            <v>43616ESTONIA</v>
          </cell>
          <cell r="D3577" t="str">
            <v>EUR3</v>
          </cell>
          <cell r="E3577">
            <v>3.9251525690515301</v>
          </cell>
          <cell r="F3577">
            <v>0</v>
          </cell>
          <cell r="G3577" t="str">
            <v>ESTONIA</v>
          </cell>
          <cell r="H3577">
            <v>6</v>
          </cell>
        </row>
        <row r="3578">
          <cell r="B3578" t="str">
            <v>43616EUR4</v>
          </cell>
          <cell r="C3578" t="str">
            <v>43616FINLAND</v>
          </cell>
          <cell r="D3578" t="str">
            <v>EUR4</v>
          </cell>
          <cell r="E3578">
            <v>3.9251525690515301</v>
          </cell>
          <cell r="F3578">
            <v>0</v>
          </cell>
          <cell r="G3578" t="str">
            <v>FINLAND</v>
          </cell>
          <cell r="H3578">
            <v>4</v>
          </cell>
        </row>
        <row r="3579">
          <cell r="B3579" t="str">
            <v>43616EUR5</v>
          </cell>
          <cell r="C3579" t="str">
            <v>43616FRANCE</v>
          </cell>
          <cell r="D3579" t="str">
            <v>EUR5</v>
          </cell>
          <cell r="E3579">
            <v>3.9251525690515301</v>
          </cell>
          <cell r="F3579">
            <v>0</v>
          </cell>
          <cell r="G3579" t="str">
            <v>FRANCE</v>
          </cell>
          <cell r="H3579">
            <v>4</v>
          </cell>
        </row>
        <row r="3580">
          <cell r="B3580" t="str">
            <v>43616EUR6</v>
          </cell>
          <cell r="C3580" t="str">
            <v>43616GERMANY</v>
          </cell>
          <cell r="D3580" t="str">
            <v>EUR6</v>
          </cell>
          <cell r="E3580">
            <v>3.9251525690515301</v>
          </cell>
          <cell r="F3580">
            <v>0</v>
          </cell>
          <cell r="G3580" t="str">
            <v>GERMANY</v>
          </cell>
          <cell r="H3580">
            <v>4.2004966749273862</v>
          </cell>
        </row>
        <row r="3581">
          <cell r="B3581" t="str">
            <v>43616EUR7</v>
          </cell>
          <cell r="C3581" t="str">
            <v>43616GREECE</v>
          </cell>
          <cell r="D3581" t="str">
            <v>EUR7</v>
          </cell>
          <cell r="E3581">
            <v>3.9251525690515301</v>
          </cell>
          <cell r="F3581">
            <v>0</v>
          </cell>
          <cell r="G3581" t="str">
            <v>GREECE</v>
          </cell>
          <cell r="H3581">
            <v>7</v>
          </cell>
        </row>
        <row r="3582">
          <cell r="B3582" t="str">
            <v>43616EUR8</v>
          </cell>
          <cell r="C3582" t="str">
            <v>43616IRELAND</v>
          </cell>
          <cell r="D3582" t="str">
            <v>EUR8</v>
          </cell>
          <cell r="E3582">
            <v>3.9251525690515301</v>
          </cell>
          <cell r="F3582">
            <v>0</v>
          </cell>
          <cell r="G3582" t="str">
            <v>IRELAND</v>
          </cell>
          <cell r="H3582">
            <v>4</v>
          </cell>
        </row>
        <row r="3583">
          <cell r="B3583" t="str">
            <v>43616EUR9</v>
          </cell>
          <cell r="C3583" t="str">
            <v>43616ITALY</v>
          </cell>
          <cell r="D3583" t="str">
            <v>EUR9</v>
          </cell>
          <cell r="E3583">
            <v>3.9251525690515301</v>
          </cell>
          <cell r="F3583">
            <v>0</v>
          </cell>
          <cell r="G3583" t="str">
            <v>ITALY</v>
          </cell>
          <cell r="H3583">
            <v>4.5</v>
          </cell>
        </row>
        <row r="3584">
          <cell r="B3584" t="str">
            <v>43616EUR10</v>
          </cell>
          <cell r="C3584" t="str">
            <v>43616LATVIA</v>
          </cell>
          <cell r="D3584" t="str">
            <v>EUR10</v>
          </cell>
          <cell r="E3584">
            <v>3.9251525690515301</v>
          </cell>
          <cell r="F3584">
            <v>0</v>
          </cell>
          <cell r="G3584" t="str">
            <v>LATVIA</v>
          </cell>
          <cell r="H3584">
            <v>6</v>
          </cell>
        </row>
        <row r="3585">
          <cell r="B3585" t="str">
            <v>43616EUR11</v>
          </cell>
          <cell r="C3585" t="str">
            <v>43616LUXEMBOURG</v>
          </cell>
          <cell r="D3585" t="str">
            <v>EUR11</v>
          </cell>
          <cell r="E3585">
            <v>3.9251525690515301</v>
          </cell>
          <cell r="F3585">
            <v>0</v>
          </cell>
          <cell r="G3585" t="str">
            <v>LUXEMBOURG</v>
          </cell>
          <cell r="H3585">
            <v>4</v>
          </cell>
        </row>
        <row r="3586">
          <cell r="B3586" t="str">
            <v>43616EUR12</v>
          </cell>
          <cell r="C3586" t="str">
            <v>43616MALTA</v>
          </cell>
          <cell r="D3586" t="str">
            <v>EUR12</v>
          </cell>
          <cell r="E3586">
            <v>3.9251525690515301</v>
          </cell>
          <cell r="F3586">
            <v>0</v>
          </cell>
          <cell r="G3586" t="str">
            <v>MALTA</v>
          </cell>
          <cell r="H3586">
            <v>4</v>
          </cell>
        </row>
        <row r="3587">
          <cell r="B3587" t="str">
            <v>43616EUR13</v>
          </cell>
          <cell r="C3587" t="str">
            <v>43616MONTENEGRO</v>
          </cell>
          <cell r="D3587" t="str">
            <v>EUR13</v>
          </cell>
          <cell r="E3587">
            <v>3.9251525690515301</v>
          </cell>
          <cell r="F3587">
            <v>0</v>
          </cell>
          <cell r="G3587" t="str">
            <v>MONTENEGRO</v>
          </cell>
          <cell r="H3587">
            <v>6</v>
          </cell>
        </row>
        <row r="3588">
          <cell r="B3588" t="str">
            <v>43616EUR14</v>
          </cell>
          <cell r="C3588" t="str">
            <v>43616NETHERLANDS</v>
          </cell>
          <cell r="D3588" t="str">
            <v>EUR14</v>
          </cell>
          <cell r="E3588">
            <v>3.9251525690515301</v>
          </cell>
          <cell r="F3588">
            <v>0</v>
          </cell>
          <cell r="G3588" t="str">
            <v>NETHERLANDS</v>
          </cell>
          <cell r="H3588">
            <v>4</v>
          </cell>
        </row>
        <row r="3589">
          <cell r="B3589" t="str">
            <v>43616EUR15</v>
          </cell>
          <cell r="C3589" t="str">
            <v>43616PORTUGAL</v>
          </cell>
          <cell r="D3589" t="str">
            <v>EUR15</v>
          </cell>
          <cell r="E3589">
            <v>3.9251525690515301</v>
          </cell>
          <cell r="F3589">
            <v>0</v>
          </cell>
          <cell r="G3589" t="str">
            <v>PORTUGAL</v>
          </cell>
          <cell r="H3589">
            <v>4</v>
          </cell>
        </row>
        <row r="3590">
          <cell r="B3590" t="str">
            <v>43616EUR16</v>
          </cell>
          <cell r="C3590" t="str">
            <v>43616SLOVAKIA</v>
          </cell>
          <cell r="D3590" t="str">
            <v>EUR16</v>
          </cell>
          <cell r="E3590">
            <v>3.9251525690515301</v>
          </cell>
          <cell r="F3590">
            <v>0</v>
          </cell>
          <cell r="G3590" t="str">
            <v>SLOVAKIA</v>
          </cell>
          <cell r="H3590">
            <v>5</v>
          </cell>
        </row>
        <row r="3591">
          <cell r="B3591" t="str">
            <v>43616EUR17</v>
          </cell>
          <cell r="C3591" t="str">
            <v>43616SLOVENIA</v>
          </cell>
          <cell r="D3591" t="str">
            <v>EUR17</v>
          </cell>
          <cell r="E3591">
            <v>3.9251525690515301</v>
          </cell>
          <cell r="F3591">
            <v>0</v>
          </cell>
          <cell r="G3591" t="str">
            <v>SLOVENIA</v>
          </cell>
          <cell r="H3591">
            <v>6</v>
          </cell>
        </row>
        <row r="3592">
          <cell r="B3592" t="str">
            <v>43616EUR18</v>
          </cell>
          <cell r="C3592" t="str">
            <v>43616SPAIN</v>
          </cell>
          <cell r="D3592" t="str">
            <v>EUR18</v>
          </cell>
          <cell r="E3592">
            <v>3.9251525690515301</v>
          </cell>
          <cell r="F3592">
            <v>0</v>
          </cell>
          <cell r="G3592" t="str">
            <v>SPAIN</v>
          </cell>
          <cell r="H3592">
            <v>4</v>
          </cell>
        </row>
        <row r="3593">
          <cell r="B3593" t="str">
            <v>43616EUR20</v>
          </cell>
          <cell r="C3593" t="str">
            <v>43616AUSTRIA</v>
          </cell>
          <cell r="D3593" t="str">
            <v>EUR20</v>
          </cell>
          <cell r="E3593">
            <v>3.9251525690515301</v>
          </cell>
          <cell r="F3593">
            <v>0</v>
          </cell>
          <cell r="G3593" t="str">
            <v>AUSTRIA</v>
          </cell>
          <cell r="H3593">
            <v>4</v>
          </cell>
        </row>
        <row r="3594">
          <cell r="B3594" t="str">
            <v>43616Eastern European Institutions</v>
          </cell>
          <cell r="C3594" t="str">
            <v>43616Eastern European Institutions</v>
          </cell>
          <cell r="D3594" t="str">
            <v>Eastern European Institutions</v>
          </cell>
          <cell r="E3594">
            <v>0</v>
          </cell>
          <cell r="G3594" t="str">
            <v>Eastern European Institutions</v>
          </cell>
          <cell r="H3594">
            <v>5</v>
          </cell>
        </row>
        <row r="3595">
          <cell r="B3595" t="str">
            <v>43646AED</v>
          </cell>
          <cell r="C3595" t="str">
            <v>43646U. A. E.</v>
          </cell>
          <cell r="D3595" t="str">
            <v>AED</v>
          </cell>
          <cell r="E3595">
            <v>4.346796522070199</v>
          </cell>
          <cell r="F3595">
            <v>2.5019999999999998</v>
          </cell>
          <cell r="G3595" t="str">
            <v>U. A. E.</v>
          </cell>
          <cell r="H3595">
            <v>5</v>
          </cell>
        </row>
        <row r="3596">
          <cell r="B3596" t="str">
            <v>43646ARS</v>
          </cell>
          <cell r="C3596" t="str">
            <v>43646ARGENTINA</v>
          </cell>
          <cell r="D3596" t="str">
            <v>ARS</v>
          </cell>
          <cell r="E3596">
            <v>22.923999074959816</v>
          </cell>
          <cell r="F3596">
            <v>33.450499999999998</v>
          </cell>
          <cell r="G3596" t="str">
            <v>ARGENTINA</v>
          </cell>
          <cell r="H3596">
            <v>9</v>
          </cell>
        </row>
        <row r="3597">
          <cell r="B3597" t="str">
            <v>43646AUD</v>
          </cell>
          <cell r="C3597" t="str">
            <v>43646AUSTRALIA</v>
          </cell>
          <cell r="D3597" t="str">
            <v>AUD</v>
          </cell>
          <cell r="E3597">
            <v>4.6146082417236647</v>
          </cell>
          <cell r="F3597">
            <v>2.1429999999999998</v>
          </cell>
          <cell r="G3597" t="str">
            <v>AUSTRALIA</v>
          </cell>
          <cell r="H3597">
            <v>3.5953800448637798</v>
          </cell>
        </row>
        <row r="3598">
          <cell r="B3598" t="str">
            <v>43646BDT</v>
          </cell>
          <cell r="C3598" t="str">
            <v>43646BANGLADESH</v>
          </cell>
          <cell r="D3598" t="str">
            <v>BDT</v>
          </cell>
          <cell r="E3598">
            <v>7.7073896020150947</v>
          </cell>
          <cell r="F3598">
            <v>5.4049999999999994</v>
          </cell>
          <cell r="G3598" t="str">
            <v>BANGLADESH</v>
          </cell>
          <cell r="H3598">
            <v>6</v>
          </cell>
        </row>
        <row r="3599">
          <cell r="B3599" t="str">
            <v>43646BRL</v>
          </cell>
          <cell r="C3599" t="str">
            <v>43646BRAZIL</v>
          </cell>
          <cell r="D3599" t="str">
            <v>BRL</v>
          </cell>
          <cell r="E3599">
            <v>6.1634453522755352</v>
          </cell>
          <cell r="F3599">
            <v>3.8159999999999998</v>
          </cell>
          <cell r="G3599" t="str">
            <v>BRAZIL</v>
          </cell>
          <cell r="H3599">
            <v>5</v>
          </cell>
        </row>
        <row r="3600">
          <cell r="B3600" t="str">
            <v>43646BWP</v>
          </cell>
          <cell r="C3600" t="str">
            <v>43646BOTSWANA</v>
          </cell>
          <cell r="D3600" t="str">
            <v>BWP</v>
          </cell>
          <cell r="E3600">
            <v>6.0931233614718563</v>
          </cell>
          <cell r="F3600">
            <v>3.7079999999999997</v>
          </cell>
          <cell r="G3600" t="str">
            <v>BOTSWANA</v>
          </cell>
          <cell r="H3600">
            <v>6</v>
          </cell>
        </row>
        <row r="3601">
          <cell r="B3601" t="str">
            <v>43646CAD</v>
          </cell>
          <cell r="C3601" t="str">
            <v>43646CANADA</v>
          </cell>
          <cell r="D3601" t="str">
            <v>CAD</v>
          </cell>
          <cell r="E3601">
            <v>4.2340610758947941</v>
          </cell>
          <cell r="F3601">
            <v>1.8110000000000002</v>
          </cell>
          <cell r="G3601" t="str">
            <v>CANADA</v>
          </cell>
          <cell r="H3601">
            <v>4</v>
          </cell>
        </row>
        <row r="3602">
          <cell r="B3602" t="str">
            <v>43646CHF</v>
          </cell>
          <cell r="C3602" t="str">
            <v>43646SWITZERLAND</v>
          </cell>
          <cell r="D3602" t="str">
            <v>CHF</v>
          </cell>
          <cell r="E3602">
            <v>3.2033704435821244</v>
          </cell>
          <cell r="F3602">
            <v>0.86749999999999994</v>
          </cell>
          <cell r="G3602" t="str">
            <v>SWITZERLAND</v>
          </cell>
          <cell r="H3602">
            <v>4</v>
          </cell>
        </row>
        <row r="3603">
          <cell r="B3603" t="str">
            <v>43646CLP</v>
          </cell>
          <cell r="C3603" t="str">
            <v>43646CHILE</v>
          </cell>
          <cell r="D3603" t="str">
            <v>CLP</v>
          </cell>
          <cell r="E3603">
            <v>5.1110628904951918</v>
          </cell>
          <cell r="F3603">
            <v>2.6520000000000001</v>
          </cell>
          <cell r="G3603" t="str">
            <v>CHILE</v>
          </cell>
          <cell r="H3603">
            <v>5</v>
          </cell>
        </row>
        <row r="3604">
          <cell r="B3604" t="str">
            <v>43646CNY</v>
          </cell>
          <cell r="C3604" t="str">
            <v>43646CHINA</v>
          </cell>
          <cell r="D3604" t="str">
            <v>CNY</v>
          </cell>
          <cell r="E3604">
            <v>4.9466537683885461</v>
          </cell>
          <cell r="F3604">
            <v>2.3925000000000001</v>
          </cell>
          <cell r="G3604" t="str">
            <v>CHINA</v>
          </cell>
          <cell r="H3604">
            <v>7</v>
          </cell>
        </row>
        <row r="3605">
          <cell r="B3605" t="str">
            <v>43646COP</v>
          </cell>
          <cell r="C3605" t="str">
            <v>43646COLOMBIA</v>
          </cell>
          <cell r="D3605" t="str">
            <v>COP</v>
          </cell>
          <cell r="E3605">
            <v>5.3809269186441391</v>
          </cell>
          <cell r="F3605">
            <v>3.2645</v>
          </cell>
          <cell r="G3605" t="str">
            <v>COLOMBIA</v>
          </cell>
          <cell r="H3605">
            <v>5</v>
          </cell>
        </row>
        <row r="3606">
          <cell r="B3606" t="str">
            <v>43646CZK</v>
          </cell>
          <cell r="C3606" t="str">
            <v>43646CZECH REPUBLIC</v>
          </cell>
          <cell r="D3606" t="str">
            <v>CZK</v>
          </cell>
          <cell r="E3606">
            <v>4.3147178224534324</v>
          </cell>
          <cell r="F3606">
            <v>2.1619999999999999</v>
          </cell>
          <cell r="G3606" t="str">
            <v>CZECH REPUBLIC</v>
          </cell>
          <cell r="H3606">
            <v>5</v>
          </cell>
        </row>
        <row r="3607">
          <cell r="B3607" t="str">
            <v>43646DKK</v>
          </cell>
          <cell r="C3607" t="str">
            <v>43646DENMARK</v>
          </cell>
          <cell r="D3607" t="str">
            <v>DKK</v>
          </cell>
          <cell r="E3607">
            <v>3.7894761680130875</v>
          </cell>
          <cell r="F3607">
            <v>1.2000000000000002</v>
          </cell>
          <cell r="G3607" t="str">
            <v>DENMARK</v>
          </cell>
          <cell r="H3607">
            <v>4</v>
          </cell>
        </row>
        <row r="3608">
          <cell r="B3608" t="str">
            <v>43646EGP</v>
          </cell>
          <cell r="C3608" t="str">
            <v>43646EGYPT</v>
          </cell>
          <cell r="D3608" t="str">
            <v>EGP</v>
          </cell>
          <cell r="E3608">
            <v>11.994805698767722</v>
          </cell>
          <cell r="F3608">
            <v>13.399500000000002</v>
          </cell>
          <cell r="G3608" t="str">
            <v>EGYPT</v>
          </cell>
          <cell r="H3608">
            <v>5</v>
          </cell>
        </row>
        <row r="3609">
          <cell r="B3609" t="str">
            <v>43646EUR</v>
          </cell>
          <cell r="D3609" t="str">
            <v>EUR</v>
          </cell>
          <cell r="E3609">
            <v>3.9251525690515301</v>
          </cell>
          <cell r="F3609">
            <v>1.4384999999999999</v>
          </cell>
          <cell r="H3609">
            <v>0</v>
          </cell>
        </row>
        <row r="3610">
          <cell r="B3610" t="str">
            <v>43646GBP</v>
          </cell>
          <cell r="C3610" t="str">
            <v>43646UNITED KINGDOM</v>
          </cell>
          <cell r="D3610" t="str">
            <v>GBP</v>
          </cell>
          <cell r="E3610">
            <v>4.223177142787752</v>
          </cell>
          <cell r="F3610">
            <v>1.9209999999999998</v>
          </cell>
          <cell r="G3610" t="str">
            <v>UNITED KINGDOM</v>
          </cell>
          <cell r="H3610">
            <v>4</v>
          </cell>
        </row>
        <row r="3611">
          <cell r="B3611" t="str">
            <v>43646GEL</v>
          </cell>
          <cell r="C3611" t="str">
            <v>43646GEORGIA</v>
          </cell>
          <cell r="D3611" t="str">
            <v>GEL</v>
          </cell>
          <cell r="E3611">
            <v>5.1568100533515828</v>
          </cell>
          <cell r="F3611">
            <v>2.76</v>
          </cell>
          <cell r="G3611" t="str">
            <v>GEORGIA</v>
          </cell>
          <cell r="H3611">
            <v>6</v>
          </cell>
        </row>
        <row r="3612">
          <cell r="B3612" t="str">
            <v>43646HKD</v>
          </cell>
          <cell r="C3612" t="str">
            <v>43646HONG KONG</v>
          </cell>
          <cell r="D3612" t="str">
            <v>HKD</v>
          </cell>
          <cell r="E3612">
            <v>4.7099882865874445</v>
          </cell>
          <cell r="F3612">
            <v>2.5019999999999998</v>
          </cell>
          <cell r="G3612" t="str">
            <v>HONG KONG</v>
          </cell>
          <cell r="H3612">
            <v>4</v>
          </cell>
        </row>
        <row r="3613">
          <cell r="B3613" t="str">
            <v>43646GHS</v>
          </cell>
          <cell r="C3613" t="str">
            <v>43646GHANA</v>
          </cell>
          <cell r="D3613" t="str">
            <v>GHS</v>
          </cell>
          <cell r="E3613">
            <v>9.8298960073114365</v>
          </cell>
          <cell r="F3613">
            <v>8.7119999999999997</v>
          </cell>
          <cell r="G3613" t="str">
            <v>GHANA</v>
          </cell>
          <cell r="H3613">
            <v>6</v>
          </cell>
        </row>
        <row r="3614">
          <cell r="B3614" t="str">
            <v>43646HRK</v>
          </cell>
          <cell r="C3614" t="str">
            <v>43646CROATIA</v>
          </cell>
          <cell r="D3614" t="str">
            <v>HRK</v>
          </cell>
          <cell r="E3614">
            <v>3.9448913304420499</v>
          </cell>
          <cell r="F3614">
            <v>1.5375000000000003</v>
          </cell>
          <cell r="G3614" t="str">
            <v>CROATIA</v>
          </cell>
          <cell r="H3614">
            <v>6</v>
          </cell>
        </row>
        <row r="3615">
          <cell r="B3615" t="str">
            <v>43646HUF</v>
          </cell>
          <cell r="C3615" t="str">
            <v>43646HUNGARY</v>
          </cell>
          <cell r="D3615" t="str">
            <v>HUF</v>
          </cell>
          <cell r="E3615">
            <v>5.295753082330549</v>
          </cell>
          <cell r="F3615">
            <v>3.1420000000000003</v>
          </cell>
          <cell r="G3615" t="str">
            <v>HUNGARY</v>
          </cell>
          <cell r="H3615">
            <v>5</v>
          </cell>
        </row>
        <row r="3616">
          <cell r="B3616" t="str">
            <v>43646IDR</v>
          </cell>
          <cell r="C3616" t="str">
            <v>43646INDONESIA</v>
          </cell>
          <cell r="D3616" t="str">
            <v>IDR</v>
          </cell>
          <cell r="E3616">
            <v>5.5034015891384049</v>
          </cell>
          <cell r="F3616">
            <v>3.4489999999999998</v>
          </cell>
          <cell r="G3616" t="str">
            <v>INDONESIA</v>
          </cell>
          <cell r="H3616">
            <v>5</v>
          </cell>
        </row>
        <row r="3617">
          <cell r="B3617" t="str">
            <v>43646ILS</v>
          </cell>
          <cell r="C3617" t="str">
            <v>43646ISRAEL</v>
          </cell>
          <cell r="D3617" t="str">
            <v>ILS</v>
          </cell>
          <cell r="E3617">
            <v>3.9592815720316068</v>
          </cell>
          <cell r="F3617">
            <v>1.2785</v>
          </cell>
          <cell r="G3617" t="str">
            <v>ISRAEL</v>
          </cell>
          <cell r="H3617">
            <v>4</v>
          </cell>
        </row>
        <row r="3618">
          <cell r="B3618" t="str">
            <v>43646INR</v>
          </cell>
          <cell r="C3618" t="str">
            <v>43646INDIA</v>
          </cell>
          <cell r="D3618" t="str">
            <v>INR</v>
          </cell>
          <cell r="E3618">
            <v>6.3745142382841271</v>
          </cell>
          <cell r="F3618">
            <v>4.0635000000000003</v>
          </cell>
          <cell r="G3618" t="str">
            <v>INDIA</v>
          </cell>
          <cell r="H3618">
            <v>5</v>
          </cell>
        </row>
        <row r="3619">
          <cell r="B3619" t="str">
            <v>43646IQD</v>
          </cell>
          <cell r="C3619" t="str">
            <v>43646IRAQ</v>
          </cell>
          <cell r="D3619" t="str">
            <v>IQD</v>
          </cell>
          <cell r="E3619">
            <v>4.2500000000000018</v>
          </cell>
          <cell r="F3619">
            <v>2</v>
          </cell>
          <cell r="G3619" t="str">
            <v>IRAQ</v>
          </cell>
          <cell r="H3619">
            <v>6</v>
          </cell>
        </row>
        <row r="3620">
          <cell r="B3620" t="str">
            <v>43646JPY</v>
          </cell>
          <cell r="C3620" t="str">
            <v>43646JAPAN</v>
          </cell>
          <cell r="D3620" t="str">
            <v>JPY</v>
          </cell>
          <cell r="E3620">
            <v>3.5052595237571573</v>
          </cell>
          <cell r="F3620">
            <v>1.3049999999999999</v>
          </cell>
          <cell r="G3620" t="str">
            <v>JAPAN</v>
          </cell>
          <cell r="H3620">
            <v>4</v>
          </cell>
        </row>
        <row r="3621">
          <cell r="B3621" t="str">
            <v>43646KES</v>
          </cell>
          <cell r="C3621" t="str">
            <v>43646KENYA</v>
          </cell>
          <cell r="D3621" t="str">
            <v>KES</v>
          </cell>
          <cell r="E3621">
            <v>7.1305284338347965</v>
          </cell>
          <cell r="F3621">
            <v>4.702</v>
          </cell>
          <cell r="G3621" t="str">
            <v>KENYA</v>
          </cell>
          <cell r="H3621">
            <v>7.5</v>
          </cell>
        </row>
        <row r="3622">
          <cell r="B3622" t="str">
            <v>43646JOD</v>
          </cell>
          <cell r="C3622" t="str">
            <v>43646JORDAN</v>
          </cell>
          <cell r="D3622" t="str">
            <v>JOD</v>
          </cell>
          <cell r="E3622">
            <v>4.6634102286304859</v>
          </cell>
          <cell r="F3622">
            <v>2.5019999999999998</v>
          </cell>
          <cell r="G3622" t="str">
            <v>JORDAN</v>
          </cell>
          <cell r="H3622">
            <v>6</v>
          </cell>
        </row>
        <row r="3623">
          <cell r="B3623" t="str">
            <v>43646KHR</v>
          </cell>
          <cell r="C3623" t="str">
            <v>43646CAMBODIA</v>
          </cell>
          <cell r="D3623" t="str">
            <v>KHR</v>
          </cell>
          <cell r="E3623">
            <v>5.1178522888126778</v>
          </cell>
          <cell r="F3623">
            <v>2.6875</v>
          </cell>
          <cell r="G3623" t="str">
            <v>CAMBODIA</v>
          </cell>
          <cell r="H3623">
            <v>6</v>
          </cell>
        </row>
        <row r="3624">
          <cell r="B3624" t="str">
            <v>43646KRW</v>
          </cell>
          <cell r="C3624" t="str">
            <v>43646KOREA SOUTH(REPUBLIC OF KOREA)</v>
          </cell>
          <cell r="D3624" t="str">
            <v>KRW</v>
          </cell>
          <cell r="E3624">
            <v>3.9100165701703196</v>
          </cell>
          <cell r="F3624">
            <v>1.4504999999999999</v>
          </cell>
          <cell r="G3624" t="str">
            <v>KOREA SOUTH(REPUBLIC OF KOREA)</v>
          </cell>
          <cell r="H3624">
            <v>5</v>
          </cell>
        </row>
        <row r="3625">
          <cell r="B3625" t="str">
            <v>43646KWD</v>
          </cell>
          <cell r="C3625" t="str">
            <v>43646KUWAIT</v>
          </cell>
          <cell r="D3625" t="str">
            <v>KWD</v>
          </cell>
          <cell r="E3625">
            <v>5.6067280783844078</v>
          </cell>
          <cell r="F3625">
            <v>2.6000000000000005</v>
          </cell>
          <cell r="G3625" t="str">
            <v>KUWAIT</v>
          </cell>
          <cell r="H3625">
            <v>6</v>
          </cell>
        </row>
        <row r="3626">
          <cell r="B3626" t="str">
            <v>43646LKR</v>
          </cell>
          <cell r="C3626" t="str">
            <v>43646SRI LANKA</v>
          </cell>
          <cell r="D3626" t="str">
            <v>LKR</v>
          </cell>
          <cell r="E3626">
            <v>6.9598835116329063</v>
          </cell>
          <cell r="F3626">
            <v>4.55</v>
          </cell>
          <cell r="G3626" t="str">
            <v>SRI LANKA</v>
          </cell>
          <cell r="H3626">
            <v>6</v>
          </cell>
        </row>
        <row r="3627">
          <cell r="B3627" t="str">
            <v>43646KZT</v>
          </cell>
          <cell r="C3627" t="str">
            <v>43646KAZAKHSTAN</v>
          </cell>
          <cell r="D3627" t="str">
            <v>KZT</v>
          </cell>
          <cell r="E3627">
            <v>6.8686921914282308</v>
          </cell>
          <cell r="F3627">
            <v>5.2190000000000012</v>
          </cell>
          <cell r="G3627" t="str">
            <v>KAZAKHSTAN</v>
          </cell>
          <cell r="H3627">
            <v>6</v>
          </cell>
        </row>
        <row r="3628">
          <cell r="B3628" t="str">
            <v>43646MAD</v>
          </cell>
          <cell r="C3628" t="str">
            <v>43646MOROCCO</v>
          </cell>
          <cell r="D3628" t="str">
            <v>MAD</v>
          </cell>
          <cell r="E3628">
            <v>4.1297166463972115</v>
          </cell>
          <cell r="F3628">
            <v>1.6999999999999997</v>
          </cell>
          <cell r="G3628" t="str">
            <v>MOROCCO</v>
          </cell>
          <cell r="H3628">
            <v>6</v>
          </cell>
        </row>
        <row r="3629">
          <cell r="B3629" t="str">
            <v>43646MXN</v>
          </cell>
          <cell r="C3629" t="str">
            <v>43646MEXICO</v>
          </cell>
          <cell r="D3629" t="str">
            <v>MXN</v>
          </cell>
          <cell r="E3629">
            <v>5.4325212139813486</v>
          </cell>
          <cell r="F3629">
            <v>3.4575</v>
          </cell>
          <cell r="G3629" t="str">
            <v>MEXICO</v>
          </cell>
          <cell r="H3629">
            <v>7</v>
          </cell>
        </row>
        <row r="3630">
          <cell r="B3630" t="str">
            <v>43646MYR</v>
          </cell>
          <cell r="C3630" t="str">
            <v>43646MALAYSIA</v>
          </cell>
          <cell r="D3630" t="str">
            <v>MYR</v>
          </cell>
          <cell r="E3630">
            <v>4.607412777871537</v>
          </cell>
          <cell r="F3630">
            <v>2.2755000000000001</v>
          </cell>
          <cell r="G3630" t="str">
            <v>MALAYSIA</v>
          </cell>
          <cell r="H3630">
            <v>5</v>
          </cell>
        </row>
        <row r="3631">
          <cell r="B3631" t="str">
            <v>43646NGN</v>
          </cell>
          <cell r="C3631" t="str">
            <v>43646NIGERIA</v>
          </cell>
          <cell r="D3631" t="str">
            <v>NGN</v>
          </cell>
          <cell r="E3631">
            <v>13.705568126780701</v>
          </cell>
          <cell r="F3631">
            <v>11.715499999999999</v>
          </cell>
          <cell r="G3631" t="str">
            <v>NIGERIA</v>
          </cell>
          <cell r="H3631">
            <v>6</v>
          </cell>
        </row>
        <row r="3632">
          <cell r="B3632" t="str">
            <v>43646NOK</v>
          </cell>
          <cell r="C3632" t="str">
            <v>43646NORWAY</v>
          </cell>
          <cell r="D3632" t="str">
            <v>NOK</v>
          </cell>
          <cell r="E3632">
            <v>4.1399391226501638</v>
          </cell>
          <cell r="F3632">
            <v>1.7999999999999998</v>
          </cell>
          <cell r="G3632" t="str">
            <v>NORWAY</v>
          </cell>
          <cell r="H3632">
            <v>4</v>
          </cell>
        </row>
        <row r="3633">
          <cell r="B3633" t="str">
            <v>43646NZD</v>
          </cell>
          <cell r="C3633" t="str">
            <v>43646NEW ZEALAND</v>
          </cell>
          <cell r="D3633" t="str">
            <v>NZD</v>
          </cell>
          <cell r="E3633">
            <v>4.2377944332597153</v>
          </cell>
          <cell r="F3633">
            <v>1.9470000000000001</v>
          </cell>
          <cell r="G3633" t="str">
            <v>NEW ZEALAND</v>
          </cell>
          <cell r="H3633">
            <v>4</v>
          </cell>
        </row>
        <row r="3634">
          <cell r="B3634" t="str">
            <v>43646OMR</v>
          </cell>
          <cell r="C3634" t="str">
            <v>43646OMAN</v>
          </cell>
          <cell r="D3634" t="str">
            <v>OMR</v>
          </cell>
          <cell r="E3634">
            <v>4.9061483258207952</v>
          </cell>
          <cell r="F3634">
            <v>2.5019999999999998</v>
          </cell>
          <cell r="G3634" t="str">
            <v>OMAN</v>
          </cell>
          <cell r="H3634">
            <v>6</v>
          </cell>
        </row>
        <row r="3635">
          <cell r="B3635" t="str">
            <v>43646PEN</v>
          </cell>
          <cell r="C3635" t="str">
            <v>43646PERU</v>
          </cell>
          <cell r="D3635" t="str">
            <v>PEN</v>
          </cell>
          <cell r="E3635">
            <v>4.3158710633359556</v>
          </cell>
          <cell r="F3635">
            <v>2.1934999999999998</v>
          </cell>
          <cell r="G3635" t="str">
            <v>PERU</v>
          </cell>
          <cell r="H3635">
            <v>6</v>
          </cell>
        </row>
        <row r="3636">
          <cell r="B3636" t="str">
            <v>43646PGK</v>
          </cell>
          <cell r="C3636" t="str">
            <v>43646PAPUA NEW GUINEA</v>
          </cell>
          <cell r="D3636" t="str">
            <v>PGK</v>
          </cell>
          <cell r="E3636">
            <v>6.7496934859149462</v>
          </cell>
          <cell r="F3636">
            <v>4.5</v>
          </cell>
          <cell r="G3636" t="str">
            <v>PAPUA NEW GUINEA</v>
          </cell>
          <cell r="H3636">
            <v>6</v>
          </cell>
        </row>
        <row r="3637">
          <cell r="B3637" t="str">
            <v>43646PHP</v>
          </cell>
          <cell r="C3637" t="str">
            <v>43646PHILIPPINES</v>
          </cell>
          <cell r="D3637" t="str">
            <v>PHP</v>
          </cell>
          <cell r="E3637">
            <v>5.483111396491517</v>
          </cell>
          <cell r="F3637">
            <v>3.5550000000000002</v>
          </cell>
          <cell r="G3637" t="str">
            <v>PHILIPPINES</v>
          </cell>
          <cell r="H3637">
            <v>5</v>
          </cell>
        </row>
        <row r="3638">
          <cell r="B3638" t="str">
            <v>43646PKR</v>
          </cell>
          <cell r="C3638" t="str">
            <v>43646PAKISTAN</v>
          </cell>
          <cell r="D3638" t="str">
            <v>PKR</v>
          </cell>
          <cell r="E3638">
            <v>8.1693510550297859</v>
          </cell>
          <cell r="F3638">
            <v>7.3140000000000001</v>
          </cell>
          <cell r="G3638" t="str">
            <v>PAKISTAN</v>
          </cell>
          <cell r="H3638">
            <v>6</v>
          </cell>
        </row>
        <row r="3639">
          <cell r="B3639" t="str">
            <v>43646PLN</v>
          </cell>
          <cell r="C3639" t="str">
            <v>43646POLAND</v>
          </cell>
          <cell r="D3639" t="str">
            <v>PLN</v>
          </cell>
          <cell r="E3639">
            <v>4.2855420633547672</v>
          </cell>
          <cell r="F3639">
            <v>1.9355000000000002</v>
          </cell>
          <cell r="G3639" t="str">
            <v>POLAND</v>
          </cell>
          <cell r="H3639">
            <v>5</v>
          </cell>
        </row>
        <row r="3640">
          <cell r="B3640" t="str">
            <v>43646QAR</v>
          </cell>
          <cell r="C3640" t="str">
            <v>43646QATAR</v>
          </cell>
          <cell r="D3640" t="str">
            <v>QAR</v>
          </cell>
          <cell r="E3640">
            <v>4.2799466177152503</v>
          </cell>
          <cell r="F3640">
            <v>2.5019999999999998</v>
          </cell>
          <cell r="G3640" t="str">
            <v>QATAR</v>
          </cell>
          <cell r="H3640">
            <v>5</v>
          </cell>
        </row>
        <row r="3641">
          <cell r="B3641" t="str">
            <v>43646RON</v>
          </cell>
          <cell r="C3641" t="str">
            <v>43646ROMANIA</v>
          </cell>
          <cell r="D3641" t="str">
            <v>RON</v>
          </cell>
          <cell r="E3641">
            <v>5.0694371513165617</v>
          </cell>
          <cell r="F3641">
            <v>3.1135000000000002</v>
          </cell>
          <cell r="G3641" t="str">
            <v>ROMANIA</v>
          </cell>
          <cell r="H3641">
            <v>6</v>
          </cell>
        </row>
        <row r="3642">
          <cell r="B3642" t="str">
            <v>43646RUB</v>
          </cell>
          <cell r="C3642" t="str">
            <v>43646RUSSIAN FEDERATION</v>
          </cell>
          <cell r="D3642" t="str">
            <v>RUB</v>
          </cell>
          <cell r="E3642">
            <v>6.6113827983255193</v>
          </cell>
          <cell r="F3642">
            <v>4.7549999999999999</v>
          </cell>
          <cell r="G3642" t="str">
            <v>RUSSIAN FEDERATION</v>
          </cell>
          <cell r="H3642">
            <v>7</v>
          </cell>
        </row>
        <row r="3643">
          <cell r="B3643" t="str">
            <v>43646SAR</v>
          </cell>
          <cell r="C3643" t="str">
            <v>43646SAUDI ARABIA</v>
          </cell>
          <cell r="D3643" t="str">
            <v>SAR</v>
          </cell>
          <cell r="E3643">
            <v>3.8133695635085543</v>
          </cell>
          <cell r="F3643">
            <v>2.5019999999999998</v>
          </cell>
          <cell r="G3643" t="str">
            <v>SAUDI ARABIA</v>
          </cell>
          <cell r="H3643">
            <v>6</v>
          </cell>
        </row>
        <row r="3644">
          <cell r="B3644" t="str">
            <v>43646SEK</v>
          </cell>
          <cell r="C3644" t="str">
            <v>43646SWEDEN</v>
          </cell>
          <cell r="D3644" t="str">
            <v>SEK</v>
          </cell>
          <cell r="E3644">
            <v>4.1371334141280283</v>
          </cell>
          <cell r="F3644">
            <v>1.7679999999999998</v>
          </cell>
          <cell r="G3644" t="str">
            <v>SWEDEN</v>
          </cell>
          <cell r="H3644">
            <v>4</v>
          </cell>
        </row>
        <row r="3645">
          <cell r="B3645" t="str">
            <v>43646SGD</v>
          </cell>
          <cell r="C3645" t="str">
            <v>43646SINGAPORE</v>
          </cell>
          <cell r="D3645" t="str">
            <v>SGD</v>
          </cell>
          <cell r="E3645">
            <v>3.6213953428887704</v>
          </cell>
          <cell r="F3645">
            <v>1.3594999999999999</v>
          </cell>
          <cell r="G3645" t="str">
            <v>SINGAPORE</v>
          </cell>
          <cell r="H3645">
            <v>4</v>
          </cell>
        </row>
        <row r="3646">
          <cell r="B3646" t="str">
            <v>43646TZS</v>
          </cell>
          <cell r="C3646" t="str">
            <v>43646TANZANIA, UNITED REPUBLIC OF</v>
          </cell>
          <cell r="D3646" t="str">
            <v>TZS</v>
          </cell>
          <cell r="E3646">
            <v>6.8002691306313015</v>
          </cell>
          <cell r="F3646">
            <v>3.9975000000000001</v>
          </cell>
          <cell r="G3646" t="str">
            <v>TANZANIA, UNITED REPUBLIC OF</v>
          </cell>
          <cell r="H3646">
            <v>6</v>
          </cell>
        </row>
        <row r="3647">
          <cell r="B3647" t="str">
            <v>43646THB</v>
          </cell>
          <cell r="C3647" t="str">
            <v>43646THAILAND</v>
          </cell>
          <cell r="D3647" t="str">
            <v>THB</v>
          </cell>
          <cell r="E3647">
            <v>3.7803451651557332</v>
          </cell>
          <cell r="F3647">
            <v>1.1274999999999999</v>
          </cell>
          <cell r="G3647" t="str">
            <v>THAILAND</v>
          </cell>
          <cell r="H3647">
            <v>5</v>
          </cell>
        </row>
        <row r="3648">
          <cell r="B3648" t="str">
            <v>43646TRY</v>
          </cell>
          <cell r="C3648" t="str">
            <v>43646TURKEY</v>
          </cell>
          <cell r="D3648" t="str">
            <v>TRY</v>
          </cell>
          <cell r="E3648">
            <v>16.429770853725728</v>
          </cell>
          <cell r="F3648">
            <v>15.7775</v>
          </cell>
          <cell r="G3648" t="str">
            <v>TURKEY</v>
          </cell>
          <cell r="H3648">
            <v>6</v>
          </cell>
        </row>
        <row r="3649">
          <cell r="B3649" t="str">
            <v>43646TWD</v>
          </cell>
          <cell r="C3649" t="str">
            <v>43646TAIWAN</v>
          </cell>
          <cell r="D3649" t="str">
            <v>TWD</v>
          </cell>
          <cell r="E3649">
            <v>3.5801257370921693</v>
          </cell>
          <cell r="F3649">
            <v>1.1840000000000002</v>
          </cell>
          <cell r="G3649" t="str">
            <v>TAIWAN</v>
          </cell>
          <cell r="H3649">
            <v>5</v>
          </cell>
        </row>
        <row r="3650">
          <cell r="B3650" t="str">
            <v>43646UAH</v>
          </cell>
          <cell r="C3650" t="str">
            <v>43646UKRAINE</v>
          </cell>
          <cell r="D3650" t="str">
            <v>UAH</v>
          </cell>
          <cell r="E3650">
            <v>8.1797132781518602</v>
          </cell>
          <cell r="F3650">
            <v>6.9540000000000006</v>
          </cell>
          <cell r="G3650" t="str">
            <v>UKRAINE</v>
          </cell>
          <cell r="H3650">
            <v>6</v>
          </cell>
        </row>
        <row r="3651">
          <cell r="B3651" t="str">
            <v>43646USD</v>
          </cell>
          <cell r="C3651" t="str">
            <v>43646UNITED STATES</v>
          </cell>
          <cell r="D3651" t="str">
            <v>USD</v>
          </cell>
          <cell r="E3651">
            <v>4.5415174186835197</v>
          </cell>
          <cell r="F3651">
            <v>2.3654999999999999</v>
          </cell>
          <cell r="G3651" t="str">
            <v>UNITED STATES</v>
          </cell>
          <cell r="H3651">
            <v>4</v>
          </cell>
        </row>
        <row r="3652">
          <cell r="B3652" t="str">
            <v>43646VND</v>
          </cell>
          <cell r="C3652" t="str">
            <v>43646VIET NAM</v>
          </cell>
          <cell r="D3652" t="str">
            <v>VND</v>
          </cell>
          <cell r="E3652">
            <v>5.667988332548938</v>
          </cell>
          <cell r="F3652">
            <v>3.1954999999999996</v>
          </cell>
          <cell r="G3652" t="str">
            <v>VIET NAM</v>
          </cell>
          <cell r="H3652">
            <v>6</v>
          </cell>
        </row>
        <row r="3653">
          <cell r="B3653" t="str">
            <v>43646XOF</v>
          </cell>
          <cell r="C3653" t="str">
            <v>43646MALI</v>
          </cell>
          <cell r="D3653" t="str">
            <v>XOF</v>
          </cell>
          <cell r="E3653">
            <v>4.3721285274769741</v>
          </cell>
          <cell r="F3653">
            <v>1.9460000000000002</v>
          </cell>
          <cell r="G3653" t="str">
            <v>MALI</v>
          </cell>
          <cell r="H3653">
            <v>6</v>
          </cell>
        </row>
        <row r="3654">
          <cell r="B3654" t="str">
            <v>43646ZAR</v>
          </cell>
          <cell r="C3654" t="str">
            <v>43646SOUTH AFRICA</v>
          </cell>
          <cell r="D3654" t="str">
            <v>ZAR</v>
          </cell>
          <cell r="E3654">
            <v>7.6211879298041776</v>
          </cell>
          <cell r="F3654">
            <v>5.1784999999999997</v>
          </cell>
          <cell r="G3654" t="str">
            <v>SOUTH AFRICA</v>
          </cell>
          <cell r="H3654">
            <v>5</v>
          </cell>
        </row>
        <row r="3655">
          <cell r="B3655" t="str">
            <v>43646ZMW</v>
          </cell>
          <cell r="C3655" t="str">
            <v>43646ZAMBIA</v>
          </cell>
          <cell r="D3655" t="str">
            <v>ZMW</v>
          </cell>
          <cell r="E3655">
            <v>12.847458014096372</v>
          </cell>
          <cell r="F3655">
            <v>11.375</v>
          </cell>
          <cell r="G3655" t="str">
            <v>ZAMBIA</v>
          </cell>
          <cell r="H3655">
            <v>6</v>
          </cell>
        </row>
        <row r="3656">
          <cell r="B3656" t="str">
            <v>43646EUR1</v>
          </cell>
          <cell r="C3656" t="str">
            <v>43646BELGIUM</v>
          </cell>
          <cell r="D3656" t="str">
            <v>EUR1</v>
          </cell>
          <cell r="E3656">
            <v>3.9251525690515301</v>
          </cell>
          <cell r="F3656">
            <v>0</v>
          </cell>
          <cell r="G3656" t="str">
            <v>BELGIUM</v>
          </cell>
          <cell r="H3656">
            <v>4</v>
          </cell>
        </row>
        <row r="3657">
          <cell r="B3657" t="str">
            <v>43646EUR2</v>
          </cell>
          <cell r="C3657" t="str">
            <v>43646CYPRUS</v>
          </cell>
          <cell r="D3657" t="str">
            <v>EUR2</v>
          </cell>
          <cell r="E3657">
            <v>3.9251525690515301</v>
          </cell>
          <cell r="F3657">
            <v>0</v>
          </cell>
          <cell r="G3657" t="str">
            <v>CYPRUS</v>
          </cell>
          <cell r="H3657">
            <v>5</v>
          </cell>
        </row>
        <row r="3658">
          <cell r="B3658" t="str">
            <v>43646EUR3</v>
          </cell>
          <cell r="C3658" t="str">
            <v>43646ESTONIA</v>
          </cell>
          <cell r="D3658" t="str">
            <v>EUR3</v>
          </cell>
          <cell r="E3658">
            <v>3.9251525690515301</v>
          </cell>
          <cell r="F3658">
            <v>0</v>
          </cell>
          <cell r="G3658" t="str">
            <v>ESTONIA</v>
          </cell>
          <cell r="H3658">
            <v>6</v>
          </cell>
        </row>
        <row r="3659">
          <cell r="B3659" t="str">
            <v>43646EUR4</v>
          </cell>
          <cell r="C3659" t="str">
            <v>43646FINLAND</v>
          </cell>
          <cell r="D3659" t="str">
            <v>EUR4</v>
          </cell>
          <cell r="E3659">
            <v>3.9251525690515301</v>
          </cell>
          <cell r="F3659">
            <v>0</v>
          </cell>
          <cell r="G3659" t="str">
            <v>FINLAND</v>
          </cell>
          <cell r="H3659">
            <v>4</v>
          </cell>
        </row>
        <row r="3660">
          <cell r="B3660" t="str">
            <v>43646EUR5</v>
          </cell>
          <cell r="C3660" t="str">
            <v>43646FRANCE</v>
          </cell>
          <cell r="D3660" t="str">
            <v>EUR5</v>
          </cell>
          <cell r="E3660">
            <v>3.9251525690515301</v>
          </cell>
          <cell r="F3660">
            <v>0</v>
          </cell>
          <cell r="G3660" t="str">
            <v>FRANCE</v>
          </cell>
          <cell r="H3660">
            <v>4</v>
          </cell>
        </row>
        <row r="3661">
          <cell r="B3661" t="str">
            <v>43646EUR6</v>
          </cell>
          <cell r="C3661" t="str">
            <v>43646GERMANY</v>
          </cell>
          <cell r="D3661" t="str">
            <v>EUR6</v>
          </cell>
          <cell r="E3661">
            <v>3.9251525690515301</v>
          </cell>
          <cell r="F3661">
            <v>0</v>
          </cell>
          <cell r="G3661" t="str">
            <v>GERMANY</v>
          </cell>
          <cell r="H3661">
            <v>4.2004966749273862</v>
          </cell>
        </row>
        <row r="3662">
          <cell r="B3662" t="str">
            <v>43646EUR7</v>
          </cell>
          <cell r="C3662" t="str">
            <v>43646GREECE</v>
          </cell>
          <cell r="D3662" t="str">
            <v>EUR7</v>
          </cell>
          <cell r="E3662">
            <v>3.9251525690515301</v>
          </cell>
          <cell r="F3662">
            <v>0</v>
          </cell>
          <cell r="G3662" t="str">
            <v>GREECE</v>
          </cell>
          <cell r="H3662">
            <v>6</v>
          </cell>
        </row>
        <row r="3663">
          <cell r="B3663" t="str">
            <v>43646EUR8</v>
          </cell>
          <cell r="C3663" t="str">
            <v>43646IRELAND</v>
          </cell>
          <cell r="D3663" t="str">
            <v>EUR8</v>
          </cell>
          <cell r="E3663">
            <v>3.9251525690515301</v>
          </cell>
          <cell r="F3663">
            <v>0</v>
          </cell>
          <cell r="G3663" t="str">
            <v>IRELAND</v>
          </cell>
          <cell r="H3663">
            <v>4</v>
          </cell>
        </row>
        <row r="3664">
          <cell r="B3664" t="str">
            <v>43646EUR9</v>
          </cell>
          <cell r="C3664" t="str">
            <v>43646ITALY</v>
          </cell>
          <cell r="D3664" t="str">
            <v>EUR9</v>
          </cell>
          <cell r="E3664">
            <v>3.9251525690515301</v>
          </cell>
          <cell r="F3664">
            <v>0</v>
          </cell>
          <cell r="G3664" t="str">
            <v>ITALY</v>
          </cell>
          <cell r="H3664">
            <v>4.5</v>
          </cell>
        </row>
        <row r="3665">
          <cell r="B3665" t="str">
            <v>43646EUR10</v>
          </cell>
          <cell r="C3665" t="str">
            <v>43646LATVIA</v>
          </cell>
          <cell r="D3665" t="str">
            <v>EUR10</v>
          </cell>
          <cell r="E3665">
            <v>3.9251525690515301</v>
          </cell>
          <cell r="F3665">
            <v>0</v>
          </cell>
          <cell r="G3665" t="str">
            <v>LATVIA</v>
          </cell>
          <cell r="H3665">
            <v>6</v>
          </cell>
        </row>
        <row r="3666">
          <cell r="B3666" t="str">
            <v>43646EUR11</v>
          </cell>
          <cell r="C3666" t="str">
            <v>43646LUXEMBOURG</v>
          </cell>
          <cell r="D3666" t="str">
            <v>EUR11</v>
          </cell>
          <cell r="E3666">
            <v>3.9251525690515301</v>
          </cell>
          <cell r="F3666">
            <v>0</v>
          </cell>
          <cell r="G3666" t="str">
            <v>LUXEMBOURG</v>
          </cell>
          <cell r="H3666">
            <v>4</v>
          </cell>
        </row>
        <row r="3667">
          <cell r="B3667" t="str">
            <v>43646EUR12</v>
          </cell>
          <cell r="C3667" t="str">
            <v>43646MALTA</v>
          </cell>
          <cell r="D3667" t="str">
            <v>EUR12</v>
          </cell>
          <cell r="E3667">
            <v>3.9251525690515301</v>
          </cell>
          <cell r="F3667">
            <v>0</v>
          </cell>
          <cell r="G3667" t="str">
            <v>MALTA</v>
          </cell>
          <cell r="H3667">
            <v>4</v>
          </cell>
        </row>
        <row r="3668">
          <cell r="B3668" t="str">
            <v>43646EUR13</v>
          </cell>
          <cell r="C3668" t="str">
            <v>43646MONTENEGRO</v>
          </cell>
          <cell r="D3668" t="str">
            <v>EUR13</v>
          </cell>
          <cell r="E3668">
            <v>3.9251525690515301</v>
          </cell>
          <cell r="F3668">
            <v>0</v>
          </cell>
          <cell r="G3668" t="str">
            <v>MONTENEGRO</v>
          </cell>
          <cell r="H3668">
            <v>6</v>
          </cell>
        </row>
        <row r="3669">
          <cell r="B3669" t="str">
            <v>43646EUR14</v>
          </cell>
          <cell r="C3669" t="str">
            <v>43646NETHERLANDS</v>
          </cell>
          <cell r="D3669" t="str">
            <v>EUR14</v>
          </cell>
          <cell r="E3669">
            <v>3.9251525690515301</v>
          </cell>
          <cell r="F3669">
            <v>0</v>
          </cell>
          <cell r="G3669" t="str">
            <v>NETHERLANDS</v>
          </cell>
          <cell r="H3669">
            <v>4</v>
          </cell>
        </row>
        <row r="3670">
          <cell r="B3670" t="str">
            <v>43646EUR15</v>
          </cell>
          <cell r="C3670" t="str">
            <v>43646PORTUGAL</v>
          </cell>
          <cell r="D3670" t="str">
            <v>EUR15</v>
          </cell>
          <cell r="E3670">
            <v>3.9251525690515301</v>
          </cell>
          <cell r="F3670">
            <v>0</v>
          </cell>
          <cell r="G3670" t="str">
            <v>PORTUGAL</v>
          </cell>
          <cell r="H3670">
            <v>4</v>
          </cell>
        </row>
        <row r="3671">
          <cell r="B3671" t="str">
            <v>43646EUR16</v>
          </cell>
          <cell r="C3671" t="str">
            <v>43646SLOVAKIA</v>
          </cell>
          <cell r="D3671" t="str">
            <v>EUR16</v>
          </cell>
          <cell r="E3671">
            <v>3.9251525690515301</v>
          </cell>
          <cell r="F3671">
            <v>0</v>
          </cell>
          <cell r="G3671" t="str">
            <v>SLOVAKIA</v>
          </cell>
          <cell r="H3671">
            <v>5</v>
          </cell>
        </row>
        <row r="3672">
          <cell r="B3672" t="str">
            <v>43646EUR17</v>
          </cell>
          <cell r="C3672" t="str">
            <v>43646SLOVENIA</v>
          </cell>
          <cell r="D3672" t="str">
            <v>EUR17</v>
          </cell>
          <cell r="E3672">
            <v>3.9251525690515301</v>
          </cell>
          <cell r="F3672">
            <v>0</v>
          </cell>
          <cell r="G3672" t="str">
            <v>SLOVENIA</v>
          </cell>
          <cell r="H3672">
            <v>6</v>
          </cell>
        </row>
        <row r="3673">
          <cell r="B3673" t="str">
            <v>43646EUR18</v>
          </cell>
          <cell r="C3673" t="str">
            <v>43646SPAIN</v>
          </cell>
          <cell r="D3673" t="str">
            <v>EUR18</v>
          </cell>
          <cell r="E3673">
            <v>3.9251525690515301</v>
          </cell>
          <cell r="F3673">
            <v>0</v>
          </cell>
          <cell r="G3673" t="str">
            <v>SPAIN</v>
          </cell>
          <cell r="H3673">
            <v>4</v>
          </cell>
        </row>
        <row r="3674">
          <cell r="B3674" t="str">
            <v>43646EUR20</v>
          </cell>
          <cell r="C3674" t="str">
            <v>43646AUSTRIA</v>
          </cell>
          <cell r="D3674" t="str">
            <v>EUR20</v>
          </cell>
          <cell r="E3674">
            <v>3.9251525690515301</v>
          </cell>
          <cell r="F3674">
            <v>0</v>
          </cell>
          <cell r="G3674" t="str">
            <v>AUSTRIA</v>
          </cell>
          <cell r="H3674">
            <v>4</v>
          </cell>
        </row>
        <row r="3675">
          <cell r="B3675" t="str">
            <v>43646Eastern European Institutions</v>
          </cell>
          <cell r="C3675" t="str">
            <v>43646Eastern European Institutions</v>
          </cell>
          <cell r="D3675" t="str">
            <v>Eastern European Institutions</v>
          </cell>
          <cell r="E3675">
            <v>0</v>
          </cell>
          <cell r="G3675" t="str">
            <v>Eastern European Institutions</v>
          </cell>
          <cell r="H3675">
            <v>5</v>
          </cell>
        </row>
        <row r="3676">
          <cell r="E3676">
            <v>0</v>
          </cell>
          <cell r="F3676">
            <v>0</v>
          </cell>
          <cell r="H3676">
            <v>0</v>
          </cell>
        </row>
        <row r="3677">
          <cell r="E3677">
            <v>0</v>
          </cell>
          <cell r="F3677">
            <v>0</v>
          </cell>
          <cell r="H3677">
            <v>0</v>
          </cell>
        </row>
        <row r="3678">
          <cell r="E3678">
            <v>0</v>
          </cell>
          <cell r="F3678">
            <v>0</v>
          </cell>
          <cell r="H3678">
            <v>0</v>
          </cell>
        </row>
        <row r="3679">
          <cell r="E3679">
            <v>0</v>
          </cell>
          <cell r="F3679">
            <v>0</v>
          </cell>
          <cell r="H3679">
            <v>0</v>
          </cell>
        </row>
        <row r="3680">
          <cell r="E3680">
            <v>0</v>
          </cell>
          <cell r="F3680">
            <v>0</v>
          </cell>
          <cell r="H3680">
            <v>0</v>
          </cell>
        </row>
        <row r="3681">
          <cell r="E3681">
            <v>0</v>
          </cell>
          <cell r="F3681">
            <v>0</v>
          </cell>
          <cell r="H3681">
            <v>0</v>
          </cell>
        </row>
        <row r="3682">
          <cell r="E3682">
            <v>0</v>
          </cell>
          <cell r="F3682">
            <v>0</v>
          </cell>
          <cell r="H3682">
            <v>0</v>
          </cell>
        </row>
        <row r="3683">
          <cell r="E3683">
            <v>0</v>
          </cell>
          <cell r="F3683">
            <v>0</v>
          </cell>
          <cell r="H3683">
            <v>0</v>
          </cell>
        </row>
        <row r="3684">
          <cell r="E3684">
            <v>0</v>
          </cell>
          <cell r="F3684">
            <v>0</v>
          </cell>
          <cell r="H3684">
            <v>0</v>
          </cell>
        </row>
        <row r="3685">
          <cell r="E3685">
            <v>0</v>
          </cell>
          <cell r="F3685">
            <v>0</v>
          </cell>
          <cell r="H3685">
            <v>0</v>
          </cell>
        </row>
        <row r="3686">
          <cell r="E3686">
            <v>0</v>
          </cell>
          <cell r="F3686">
            <v>0</v>
          </cell>
          <cell r="H3686">
            <v>0</v>
          </cell>
        </row>
        <row r="3687">
          <cell r="E3687">
            <v>0</v>
          </cell>
          <cell r="F3687">
            <v>0</v>
          </cell>
          <cell r="H3687">
            <v>0</v>
          </cell>
        </row>
        <row r="3688">
          <cell r="E3688">
            <v>0</v>
          </cell>
          <cell r="F3688">
            <v>0</v>
          </cell>
          <cell r="H3688">
            <v>0</v>
          </cell>
        </row>
        <row r="3689">
          <cell r="E3689">
            <v>0</v>
          </cell>
          <cell r="F3689">
            <v>0</v>
          </cell>
          <cell r="H3689">
            <v>0</v>
          </cell>
        </row>
        <row r="3690">
          <cell r="E3690">
            <v>0</v>
          </cell>
          <cell r="F3690">
            <v>0</v>
          </cell>
          <cell r="H3690">
            <v>0</v>
          </cell>
        </row>
        <row r="3691">
          <cell r="E3691">
            <v>0</v>
          </cell>
          <cell r="F3691">
            <v>0</v>
          </cell>
          <cell r="H3691">
            <v>0</v>
          </cell>
        </row>
        <row r="3692">
          <cell r="E3692">
            <v>0</v>
          </cell>
          <cell r="F3692">
            <v>0</v>
          </cell>
          <cell r="H3692">
            <v>0</v>
          </cell>
        </row>
        <row r="3693">
          <cell r="E3693">
            <v>0</v>
          </cell>
          <cell r="F3693">
            <v>0</v>
          </cell>
          <cell r="H3693">
            <v>0</v>
          </cell>
        </row>
        <row r="3694">
          <cell r="E3694">
            <v>0</v>
          </cell>
          <cell r="F3694">
            <v>0</v>
          </cell>
          <cell r="H3694">
            <v>0</v>
          </cell>
        </row>
        <row r="3695">
          <cell r="E3695">
            <v>0</v>
          </cell>
          <cell r="F3695">
            <v>0</v>
          </cell>
          <cell r="H3695">
            <v>0</v>
          </cell>
        </row>
        <row r="3696">
          <cell r="E3696">
            <v>0</v>
          </cell>
          <cell r="F3696">
            <v>0</v>
          </cell>
          <cell r="H3696">
            <v>0</v>
          </cell>
        </row>
        <row r="3697">
          <cell r="E3697">
            <v>0</v>
          </cell>
          <cell r="F3697">
            <v>0</v>
          </cell>
          <cell r="H3697">
            <v>0</v>
          </cell>
        </row>
        <row r="3698">
          <cell r="E3698">
            <v>0</v>
          </cell>
          <cell r="F3698">
            <v>0</v>
          </cell>
          <cell r="H3698">
            <v>0</v>
          </cell>
        </row>
        <row r="3699">
          <cell r="E3699">
            <v>0</v>
          </cell>
          <cell r="F3699">
            <v>0</v>
          </cell>
          <cell r="H3699">
            <v>0</v>
          </cell>
        </row>
        <row r="3700">
          <cell r="E3700">
            <v>0</v>
          </cell>
          <cell r="F3700">
            <v>0</v>
          </cell>
          <cell r="H3700">
            <v>0</v>
          </cell>
        </row>
        <row r="3701">
          <cell r="E3701">
            <v>0</v>
          </cell>
          <cell r="F3701">
            <v>0</v>
          </cell>
          <cell r="H3701">
            <v>0</v>
          </cell>
        </row>
        <row r="3702">
          <cell r="E3702">
            <v>0</v>
          </cell>
          <cell r="F3702">
            <v>0</v>
          </cell>
          <cell r="H3702">
            <v>0</v>
          </cell>
        </row>
        <row r="3703">
          <cell r="E3703">
            <v>0</v>
          </cell>
          <cell r="F3703">
            <v>0</v>
          </cell>
          <cell r="H3703">
            <v>0</v>
          </cell>
        </row>
        <row r="3704">
          <cell r="E3704">
            <v>0</v>
          </cell>
          <cell r="F3704">
            <v>0</v>
          </cell>
          <cell r="H3704">
            <v>0</v>
          </cell>
        </row>
        <row r="3705">
          <cell r="E3705">
            <v>0</v>
          </cell>
          <cell r="F3705">
            <v>0</v>
          </cell>
          <cell r="H3705">
            <v>0</v>
          </cell>
        </row>
        <row r="3706">
          <cell r="E3706">
            <v>0</v>
          </cell>
          <cell r="F3706">
            <v>0</v>
          </cell>
          <cell r="H3706">
            <v>0</v>
          </cell>
        </row>
        <row r="3707">
          <cell r="E3707">
            <v>0</v>
          </cell>
          <cell r="F3707">
            <v>0</v>
          </cell>
          <cell r="H3707">
            <v>0</v>
          </cell>
        </row>
        <row r="3708">
          <cell r="E3708">
            <v>0</v>
          </cell>
          <cell r="F3708">
            <v>0</v>
          </cell>
          <cell r="H3708">
            <v>0</v>
          </cell>
        </row>
        <row r="3709">
          <cell r="E3709">
            <v>0</v>
          </cell>
          <cell r="F3709">
            <v>0</v>
          </cell>
          <cell r="H3709">
            <v>0</v>
          </cell>
        </row>
        <row r="3710">
          <cell r="E3710">
            <v>0</v>
          </cell>
          <cell r="F3710">
            <v>0</v>
          </cell>
          <cell r="H3710">
            <v>0</v>
          </cell>
        </row>
        <row r="3711">
          <cell r="E3711">
            <v>0</v>
          </cell>
          <cell r="F3711">
            <v>0</v>
          </cell>
          <cell r="H3711">
            <v>0</v>
          </cell>
        </row>
        <row r="3712">
          <cell r="E3712">
            <v>0</v>
          </cell>
          <cell r="F3712">
            <v>0</v>
          </cell>
          <cell r="H3712">
            <v>0</v>
          </cell>
        </row>
        <row r="3713">
          <cell r="E3713">
            <v>0</v>
          </cell>
          <cell r="F3713">
            <v>0</v>
          </cell>
          <cell r="H3713">
            <v>0</v>
          </cell>
        </row>
        <row r="3714">
          <cell r="E3714">
            <v>0</v>
          </cell>
          <cell r="F3714">
            <v>0</v>
          </cell>
          <cell r="H3714">
            <v>0</v>
          </cell>
        </row>
        <row r="3715">
          <cell r="E3715">
            <v>0</v>
          </cell>
          <cell r="F3715">
            <v>0</v>
          </cell>
          <cell r="H3715">
            <v>0</v>
          </cell>
        </row>
        <row r="3716">
          <cell r="E3716">
            <v>0</v>
          </cell>
          <cell r="F3716">
            <v>0</v>
          </cell>
          <cell r="H3716">
            <v>0</v>
          </cell>
        </row>
        <row r="3717">
          <cell r="E3717">
            <v>0</v>
          </cell>
          <cell r="F3717">
            <v>0</v>
          </cell>
          <cell r="H3717">
            <v>0</v>
          </cell>
        </row>
        <row r="3718">
          <cell r="E3718">
            <v>0</v>
          </cell>
          <cell r="F3718">
            <v>0</v>
          </cell>
          <cell r="H3718">
            <v>0</v>
          </cell>
        </row>
        <row r="3719">
          <cell r="E3719">
            <v>0</v>
          </cell>
          <cell r="F3719">
            <v>0</v>
          </cell>
          <cell r="H3719">
            <v>0</v>
          </cell>
        </row>
        <row r="3720">
          <cell r="E3720">
            <v>0</v>
          </cell>
          <cell r="F3720">
            <v>0</v>
          </cell>
          <cell r="H3720">
            <v>0</v>
          </cell>
        </row>
        <row r="3721">
          <cell r="E3721">
            <v>0</v>
          </cell>
          <cell r="F3721">
            <v>0</v>
          </cell>
          <cell r="H3721">
            <v>0</v>
          </cell>
        </row>
        <row r="3722">
          <cell r="E3722">
            <v>0</v>
          </cell>
          <cell r="F3722">
            <v>0</v>
          </cell>
          <cell r="H3722">
            <v>0</v>
          </cell>
        </row>
        <row r="3723">
          <cell r="E3723">
            <v>0</v>
          </cell>
          <cell r="F3723">
            <v>0</v>
          </cell>
          <cell r="H3723">
            <v>0</v>
          </cell>
        </row>
        <row r="3724">
          <cell r="E3724">
            <v>0</v>
          </cell>
          <cell r="F3724">
            <v>0</v>
          </cell>
          <cell r="H3724">
            <v>0</v>
          </cell>
        </row>
        <row r="3725">
          <cell r="E3725">
            <v>0</v>
          </cell>
          <cell r="F3725">
            <v>0</v>
          </cell>
          <cell r="H3725">
            <v>0</v>
          </cell>
        </row>
        <row r="3726">
          <cell r="E3726">
            <v>0</v>
          </cell>
          <cell r="F3726">
            <v>0</v>
          </cell>
          <cell r="H3726">
            <v>0</v>
          </cell>
        </row>
        <row r="3727">
          <cell r="E3727">
            <v>0</v>
          </cell>
          <cell r="F3727">
            <v>0</v>
          </cell>
          <cell r="H3727">
            <v>0</v>
          </cell>
        </row>
        <row r="3728">
          <cell r="E3728">
            <v>0</v>
          </cell>
          <cell r="F3728">
            <v>0</v>
          </cell>
          <cell r="H3728">
            <v>0</v>
          </cell>
        </row>
        <row r="3729">
          <cell r="E3729">
            <v>0</v>
          </cell>
          <cell r="F3729">
            <v>0</v>
          </cell>
          <cell r="H3729">
            <v>0</v>
          </cell>
        </row>
        <row r="3730">
          <cell r="E3730">
            <v>0</v>
          </cell>
          <cell r="F3730">
            <v>0</v>
          </cell>
          <cell r="H3730">
            <v>0</v>
          </cell>
        </row>
        <row r="3731">
          <cell r="E3731">
            <v>0</v>
          </cell>
          <cell r="F3731">
            <v>0</v>
          </cell>
          <cell r="H3731">
            <v>0</v>
          </cell>
        </row>
        <row r="3732">
          <cell r="E3732">
            <v>0</v>
          </cell>
          <cell r="F3732">
            <v>0</v>
          </cell>
          <cell r="H3732">
            <v>0</v>
          </cell>
        </row>
        <row r="3733">
          <cell r="E3733">
            <v>0</v>
          </cell>
          <cell r="F3733">
            <v>0</v>
          </cell>
          <cell r="H3733">
            <v>0</v>
          </cell>
        </row>
        <row r="3734">
          <cell r="E3734">
            <v>0</v>
          </cell>
          <cell r="F3734">
            <v>0</v>
          </cell>
          <cell r="H3734">
            <v>0</v>
          </cell>
        </row>
        <row r="3735">
          <cell r="E3735">
            <v>0</v>
          </cell>
          <cell r="F3735">
            <v>0</v>
          </cell>
          <cell r="H3735">
            <v>0</v>
          </cell>
        </row>
        <row r="3736">
          <cell r="E3736">
            <v>0</v>
          </cell>
          <cell r="F3736">
            <v>0</v>
          </cell>
          <cell r="H3736">
            <v>0</v>
          </cell>
        </row>
        <row r="3737">
          <cell r="E3737">
            <v>0</v>
          </cell>
          <cell r="F3737">
            <v>0</v>
          </cell>
          <cell r="H3737">
            <v>0</v>
          </cell>
        </row>
        <row r="3738">
          <cell r="E3738">
            <v>0</v>
          </cell>
          <cell r="F3738">
            <v>0</v>
          </cell>
          <cell r="H3738">
            <v>0</v>
          </cell>
        </row>
        <row r="3739">
          <cell r="E3739">
            <v>0</v>
          </cell>
          <cell r="F3739">
            <v>0</v>
          </cell>
          <cell r="H3739">
            <v>0</v>
          </cell>
        </row>
        <row r="3740">
          <cell r="E3740">
            <v>0</v>
          </cell>
          <cell r="F3740">
            <v>0</v>
          </cell>
          <cell r="H3740">
            <v>0</v>
          </cell>
        </row>
        <row r="3741">
          <cell r="E3741">
            <v>0</v>
          </cell>
          <cell r="F3741">
            <v>0</v>
          </cell>
          <cell r="H3741">
            <v>0</v>
          </cell>
        </row>
        <row r="3742">
          <cell r="E3742">
            <v>0</v>
          </cell>
          <cell r="F3742">
            <v>0</v>
          </cell>
          <cell r="H3742">
            <v>0</v>
          </cell>
        </row>
        <row r="3743">
          <cell r="E3743">
            <v>0</v>
          </cell>
          <cell r="F3743">
            <v>0</v>
          </cell>
          <cell r="H3743">
            <v>0</v>
          </cell>
        </row>
        <row r="3744">
          <cell r="E3744">
            <v>0</v>
          </cell>
          <cell r="F3744">
            <v>0</v>
          </cell>
          <cell r="H3744">
            <v>0</v>
          </cell>
        </row>
        <row r="3745">
          <cell r="E3745">
            <v>0</v>
          </cell>
          <cell r="F3745">
            <v>0</v>
          </cell>
          <cell r="H3745">
            <v>0</v>
          </cell>
        </row>
        <row r="3746">
          <cell r="E3746">
            <v>0</v>
          </cell>
          <cell r="F3746">
            <v>0</v>
          </cell>
          <cell r="H3746">
            <v>0</v>
          </cell>
        </row>
        <row r="3747">
          <cell r="E3747">
            <v>0</v>
          </cell>
          <cell r="F3747">
            <v>0</v>
          </cell>
          <cell r="H3747">
            <v>0</v>
          </cell>
        </row>
        <row r="3748">
          <cell r="E3748">
            <v>0</v>
          </cell>
          <cell r="F3748">
            <v>0</v>
          </cell>
          <cell r="H3748">
            <v>0</v>
          </cell>
        </row>
        <row r="3749">
          <cell r="E3749">
            <v>0</v>
          </cell>
          <cell r="F3749">
            <v>0</v>
          </cell>
          <cell r="H3749">
            <v>0</v>
          </cell>
        </row>
        <row r="3750">
          <cell r="E3750">
            <v>0</v>
          </cell>
          <cell r="F3750">
            <v>0</v>
          </cell>
          <cell r="H3750">
            <v>0</v>
          </cell>
        </row>
        <row r="3751">
          <cell r="E3751">
            <v>0</v>
          </cell>
          <cell r="F3751">
            <v>0</v>
          </cell>
          <cell r="H3751">
            <v>0</v>
          </cell>
        </row>
        <row r="3752">
          <cell r="E3752">
            <v>0</v>
          </cell>
          <cell r="F3752">
            <v>0</v>
          </cell>
          <cell r="H3752">
            <v>0</v>
          </cell>
        </row>
        <row r="3753">
          <cell r="E3753">
            <v>0</v>
          </cell>
          <cell r="F3753">
            <v>0</v>
          </cell>
          <cell r="H3753">
            <v>0</v>
          </cell>
        </row>
        <row r="3754">
          <cell r="E3754">
            <v>0</v>
          </cell>
          <cell r="F3754">
            <v>0</v>
          </cell>
          <cell r="H3754">
            <v>0</v>
          </cell>
        </row>
        <row r="3755">
          <cell r="E3755">
            <v>0</v>
          </cell>
          <cell r="F3755">
            <v>0</v>
          </cell>
          <cell r="H3755">
            <v>0</v>
          </cell>
        </row>
        <row r="3756">
          <cell r="E3756">
            <v>0</v>
          </cell>
          <cell r="H3756">
            <v>0</v>
          </cell>
        </row>
      </sheetData>
      <sheetData sheetId="1"/>
      <sheetData sheetId="2"/>
      <sheetData sheetId="3"/>
      <sheetData sheetId="4"/>
      <sheetData sheetId="5" refreshError="1"/>
      <sheetData sheetId="6"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Sheet2"/>
      <sheetName val="Sheet3"/>
    </sheetNames>
    <sheetDataSet>
      <sheetData sheetId="0">
        <row r="18">
          <cell r="F18">
            <v>0.03</v>
          </cell>
        </row>
      </sheetData>
      <sheetData sheetId="1"/>
      <sheetData sheetId="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Sheet2"/>
      <sheetName val="Sheet3"/>
      <sheetName val="Sheet4"/>
    </sheetNames>
    <sheetDataSet>
      <sheetData sheetId="0" refreshError="1"/>
      <sheetData sheetId="1">
        <row r="132">
          <cell r="U132" t="str">
            <v>FY15</v>
          </cell>
          <cell r="V132" t="str">
            <v>FY16</v>
          </cell>
          <cell r="W132" t="str">
            <v>FY17</v>
          </cell>
          <cell r="X132" t="str">
            <v>FY18</v>
          </cell>
          <cell r="Y132" t="str">
            <v>FY19E</v>
          </cell>
          <cell r="Z132" t="str">
            <v>FY20E</v>
          </cell>
          <cell r="AA132" t="str">
            <v>FY21E</v>
          </cell>
          <cell r="AB132" t="str">
            <v>FY22E</v>
          </cell>
          <cell r="AC132" t="str">
            <v>FY23E</v>
          </cell>
        </row>
        <row r="133">
          <cell r="T133" t="str">
            <v>Organic</v>
          </cell>
          <cell r="U133">
            <v>1.9999999999999997E-2</v>
          </cell>
          <cell r="V133">
            <v>0.04</v>
          </cell>
          <cell r="W133">
            <v>0.21000000000000002</v>
          </cell>
          <cell r="X133">
            <v>0.12000000000000001</v>
          </cell>
          <cell r="Y133">
            <v>0.05</v>
          </cell>
          <cell r="Z133">
            <v>0.06</v>
          </cell>
          <cell r="AA133">
            <v>7.0000000000000007E-2</v>
          </cell>
          <cell r="AB133">
            <v>7.0000000000000007E-2</v>
          </cell>
          <cell r="AC133">
            <v>0.08</v>
          </cell>
        </row>
        <row r="134">
          <cell r="T134" t="str">
            <v>Adj EBIT margin</v>
          </cell>
          <cell r="U134">
            <v>7.4203574203574207E-2</v>
          </cell>
          <cell r="V134">
            <v>9.9873737373737378E-2</v>
          </cell>
          <cell r="W134">
            <v>0.11086654309545876</v>
          </cell>
          <cell r="X134">
            <v>0.11918210573881609</v>
          </cell>
          <cell r="Y134">
            <v>0.13824394089107483</v>
          </cell>
          <cell r="Z134">
            <v>0.17038821466699988</v>
          </cell>
          <cell r="AA134">
            <v>0.16501312555088415</v>
          </cell>
          <cell r="AB134">
            <v>0.16610168995355243</v>
          </cell>
          <cell r="AC134">
            <v>0.16694352175280405</v>
          </cell>
        </row>
      </sheetData>
      <sheetData sheetId="2" refreshError="1"/>
      <sheetData sheetId="3" refreshError="1"/>
    </sheetDataSet>
  </externalBook>
</externalLink>
</file>

<file path=xl/tables/table1.xml><?xml version="1.0" encoding="utf-8"?>
<table xmlns="http://schemas.openxmlformats.org/spreadsheetml/2006/main" id="1" name="listValidAnalytic" displayName="listValidAnalytic" ref="B4:F64" totalsRowShown="0">
  <autoFilter ref="B4:F64"/>
  <tableColumns count="5">
    <tableColumn id="1" name="Column1" dataDxfId="4"/>
    <tableColumn id="2" name="Analytic Type"/>
    <tableColumn id="3" name="Column3"/>
    <tableColumn id="4" name="Column4"/>
    <tableColumn id="5" name="Value"/>
  </tableColumns>
  <tableStyleInfo name="TableStyleMedium4" showFirstColumn="0" showLastColumn="0" showRowStripes="1" showColumnStripes="0"/>
</table>
</file>

<file path=xl/tables/table2.xml><?xml version="1.0" encoding="utf-8"?>
<table xmlns="http://schemas.openxmlformats.org/spreadsheetml/2006/main" id="2" name="listUnchangedAnalytic" displayName="listUnchangedAnalytic" ref="H4:L84" totalsRowShown="0">
  <autoFilter ref="H4:L84"/>
  <tableColumns count="5">
    <tableColumn id="1" name="Column1" dataDxfId="3"/>
    <tableColumn id="2" name="Analytic Type"/>
    <tableColumn id="3" name="Column3"/>
    <tableColumn id="4" name="Column4"/>
    <tableColumn id="5" name="Value"/>
  </tableColumns>
  <tableStyleInfo name="TableStyleMedium2" showFirstColumn="0" showLastColumn="0" showRowStripes="1" showColumnStripes="0"/>
</table>
</file>

<file path=xl/tables/table3.xml><?xml version="1.0" encoding="utf-8"?>
<table xmlns="http://schemas.openxmlformats.org/spreadsheetml/2006/main" id="3" name="listInvalidAnalytic" displayName="listInvalidAnalytic" ref="N4:R5" totalsRowShown="0">
  <autoFilter ref="N4:R5"/>
  <tableColumns count="5">
    <tableColumn id="1" name="Column1" dataDxfId="2"/>
    <tableColumn id="2" name="Analytic Type"/>
    <tableColumn id="3" name="Column3"/>
    <tableColumn id="4" name="Column4"/>
    <tableColumn id="5" name="Value"/>
  </tableColumns>
  <tableStyleInfo name="TableStyleMedium3" showFirstColumn="0" showLastColumn="0" showRowStripes="1" showColumnStripes="0"/>
</table>
</file>

<file path=xl/tables/table4.xml><?xml version="1.0" encoding="utf-8"?>
<table xmlns="http://schemas.openxmlformats.org/spreadsheetml/2006/main" id="4" name="listValidText" displayName="listValidText" ref="T4:W18" totalsRowShown="0">
  <autoFilter ref="T4:W18"/>
  <tableColumns count="4">
    <tableColumn id="1" name="Column1" dataDxfId="1"/>
    <tableColumn id="2" name="Column2"/>
    <tableColumn id="3" name="Text Item Type"/>
    <tableColumn id="4" name="Value"/>
  </tableColumns>
  <tableStyleInfo name="TableStyleMedium4" showFirstColumn="0" showLastColumn="0" showRowStripes="1" showColumnStripes="0"/>
</table>
</file>

<file path=xl/tables/table5.xml><?xml version="1.0" encoding="utf-8"?>
<table xmlns="http://schemas.openxmlformats.org/spreadsheetml/2006/main" id="5" name="listInvalidText" displayName="listInvalidText" ref="Y4:AB8" totalsRowShown="0">
  <autoFilter ref="Y4:AB8"/>
  <tableColumns count="4">
    <tableColumn id="1" name="Column1" dataDxfId="0"/>
    <tableColumn id="2" name="Column2"/>
    <tableColumn id="3" name="Text Item Type"/>
    <tableColumn id="4" name="Value"/>
  </tableColumns>
  <tableStyleInfo name="TableStyleMedium3" showFirstColumn="0" showLastColumn="0" showRowStripes="1" showColumnStripes="0"/>
</table>
</file>

<file path=xl/theme/theme1.xml><?xml version="1.0" encoding="utf-8"?>
<a:theme xmlns:a="http://schemas.openxmlformats.org/drawingml/2006/main" name="Barings Theme">
  <a:themeElements>
    <a:clrScheme name="Babson Brand Colors">
      <a:dk1>
        <a:srgbClr val="002856"/>
      </a:dk1>
      <a:lt1>
        <a:srgbClr val="FFFFFF"/>
      </a:lt1>
      <a:dk2>
        <a:srgbClr val="002856"/>
      </a:dk2>
      <a:lt2>
        <a:srgbClr val="C3C6C8"/>
      </a:lt2>
      <a:accent1>
        <a:srgbClr val="002856"/>
      </a:accent1>
      <a:accent2>
        <a:srgbClr val="00953A"/>
      </a:accent2>
      <a:accent3>
        <a:srgbClr val="778692"/>
      </a:accent3>
      <a:accent4>
        <a:srgbClr val="276092"/>
      </a:accent4>
      <a:accent5>
        <a:srgbClr val="ADC9E8"/>
      </a:accent5>
      <a:accent6>
        <a:srgbClr val="C3C6C8"/>
      </a:accent6>
      <a:hlink>
        <a:srgbClr val="00953A"/>
      </a:hlink>
      <a:folHlink>
        <a:srgbClr val="00953A"/>
      </a:folHlink>
    </a:clrScheme>
    <a:fontScheme name="Barings Arial">
      <a:majorFont>
        <a:latin typeface="Arial"/>
        <a:ea typeface="ヒラギノ角ゴ Pro W3"/>
        <a:cs typeface=""/>
      </a:majorFont>
      <a:minorFont>
        <a:latin typeface="Arial"/>
        <a:ea typeface="ヒラギノ角ゴ Pro W3"/>
        <a:cs typeface=""/>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solidFill>
          <a:srgbClr val="004B8C"/>
        </a:solidFill>
        <a:ln w="9525" cap="flat" cmpd="sng" algn="ctr">
          <a:noFill/>
          <a:prstDash val="solid"/>
          <a:round/>
          <a:headEnd type="none" w="med" len="med"/>
          <a:tailEnd type="none" w="med" len="med"/>
        </a:ln>
        <a:effectLst/>
        <a:extLst/>
      </a:spPr>
      <a:bodyPr vert="horz" wrap="square" lIns="91440" tIns="45720" rIns="91440" bIns="45720" numCol="1" rtlCol="0" anchor="t" anchorCtr="0" compatLnSpc="1">
        <a:prstTxWarp prst="textNoShape">
          <a:avLst/>
        </a:prstTxWarp>
      </a:bodyPr>
      <a:lstStyle>
        <a:defPPr marL="0" marR="0" indent="0" algn="l" defTabSz="914400" rtl="0" eaLnBrk="0" fontAlgn="base" latinLnBrk="0" hangingPunct="0">
          <a:lnSpc>
            <a:spcPct val="100000"/>
          </a:lnSpc>
          <a:spcBef>
            <a:spcPct val="0"/>
          </a:spcBef>
          <a:spcAft>
            <a:spcPct val="0"/>
          </a:spcAft>
          <a:buClrTx/>
          <a:buSzTx/>
          <a:buFontTx/>
          <a:buNone/>
          <a:tabLst/>
          <a:defRPr kumimoji="0" sz="2400" b="0" i="0" u="none" strike="noStrike" cap="none" normalizeH="0" baseline="-25000" smtClean="0">
            <a:ln>
              <a:noFill/>
            </a:ln>
            <a:solidFill>
              <a:schemeClr val="tx1"/>
            </a:solidFill>
            <a:effectLst/>
            <a:latin typeface="Arial" charset="0"/>
            <a:ea typeface="ヒラギノ角ゴ Pro W3" pitchFamily="-57" charset="-128"/>
          </a:defRPr>
        </a:defPPr>
      </a:lstStyle>
    </a:spDef>
    <a:lnDef>
      <a:spPr bwMode="auto">
        <a:solidFill>
          <a:schemeClr val="accent1"/>
        </a:solidFill>
        <a:ln w="12700" cap="flat" cmpd="sng" algn="ctr">
          <a:solidFill>
            <a:srgbClr val="004B8C"/>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chemeClr val="bg2"/>
                </a:outerShdw>
              </a:effectLst>
            </a14:hiddenEffects>
          </a:ext>
        </a:extLst>
      </a:spPr>
      <a:bodyPr/>
      <a:lstStyle/>
    </a:lnDef>
    <a:txDef>
      <a:spPr>
        <a:noFill/>
      </a:spPr>
      <a:bodyPr wrap="none" lIns="0" tIns="0" rIns="0" bIns="0" rtlCol="0">
        <a:spAutoFit/>
      </a:bodyPr>
      <a:lstStyle>
        <a:defPPr>
          <a:defRPr sz="1600" baseline="0" dirty="0" err="1" smtClean="0"/>
        </a:defPPr>
      </a:lstStyle>
    </a:txDef>
  </a:objectDefaults>
  <a:extraClrSchemeLst>
    <a:extraClrScheme>
      <a:clrScheme name="1_Blank Presentation 1">
        <a:dk1>
          <a:srgbClr val="000000"/>
        </a:dk1>
        <a:lt1>
          <a:srgbClr val="FFFFFF"/>
        </a:lt1>
        <a:dk2>
          <a:srgbClr val="000000"/>
        </a:dk2>
        <a:lt2>
          <a:srgbClr val="808080"/>
        </a:lt2>
        <a:accent1>
          <a:srgbClr val="BBE0E3"/>
        </a:accent1>
        <a:accent2>
          <a:srgbClr val="333399"/>
        </a:accent2>
        <a:accent3>
          <a:srgbClr val="FFFFFF"/>
        </a:accent3>
        <a:accent4>
          <a:srgbClr val="000000"/>
        </a:accent4>
        <a:accent5>
          <a:srgbClr val="DAEDEF"/>
        </a:accent5>
        <a:accent6>
          <a:srgbClr val="2D2D8A"/>
        </a:accent6>
        <a:hlink>
          <a:srgbClr val="009999"/>
        </a:hlink>
        <a:folHlink>
          <a:srgbClr val="99CC00"/>
        </a:folHlink>
      </a:clrScheme>
      <a:clrMap bg1="lt1" tx1="dk1" bg2="lt2" tx2="dk2" accent1="accent1" accent2="accent2" accent3="accent3" accent4="accent4" accent5="accent5" accent6="accent6" hlink="hlink" folHlink="folHlink"/>
    </a:extraClrScheme>
    <a:extraClrScheme>
      <a:clrScheme name="1_Blank Presentation 2">
        <a:dk1>
          <a:srgbClr val="000000"/>
        </a:dk1>
        <a:lt1>
          <a:srgbClr val="FFFFFF"/>
        </a:lt1>
        <a:dk2>
          <a:srgbClr val="000000"/>
        </a:dk2>
        <a:lt2>
          <a:srgbClr val="969696"/>
        </a:lt2>
        <a:accent1>
          <a:srgbClr val="FBDF53"/>
        </a:accent1>
        <a:accent2>
          <a:srgbClr val="FF9966"/>
        </a:accent2>
        <a:accent3>
          <a:srgbClr val="FFFFFF"/>
        </a:accent3>
        <a:accent4>
          <a:srgbClr val="000000"/>
        </a:accent4>
        <a:accent5>
          <a:srgbClr val="FDECB3"/>
        </a:accent5>
        <a:accent6>
          <a:srgbClr val="E78A5C"/>
        </a:accent6>
        <a:hlink>
          <a:srgbClr val="CC3300"/>
        </a:hlink>
        <a:folHlink>
          <a:srgbClr val="996600"/>
        </a:folHlink>
      </a:clrScheme>
      <a:clrMap bg1="lt1" tx1="dk1" bg2="lt2" tx2="dk2" accent1="accent1" accent2="accent2" accent3="accent3" accent4="accent4" accent5="accent5" accent6="accent6" hlink="hlink" folHlink="folHlink"/>
    </a:extraClrScheme>
    <a:extraClrScheme>
      <a:clrScheme name="1_Blank Presentation 3">
        <a:dk1>
          <a:srgbClr val="000000"/>
        </a:dk1>
        <a:lt1>
          <a:srgbClr val="FFFFFF"/>
        </a:lt1>
        <a:dk2>
          <a:srgbClr val="000000"/>
        </a:dk2>
        <a:lt2>
          <a:srgbClr val="808080"/>
        </a:lt2>
        <a:accent1>
          <a:srgbClr val="99CCFF"/>
        </a:accent1>
        <a:accent2>
          <a:srgbClr val="CCCCFF"/>
        </a:accent2>
        <a:accent3>
          <a:srgbClr val="FFFFFF"/>
        </a:accent3>
        <a:accent4>
          <a:srgbClr val="000000"/>
        </a:accent4>
        <a:accent5>
          <a:srgbClr val="CAE2FF"/>
        </a:accent5>
        <a:accent6>
          <a:srgbClr val="B9B9E7"/>
        </a:accent6>
        <a:hlink>
          <a:srgbClr val="3333CC"/>
        </a:hlink>
        <a:folHlink>
          <a:srgbClr val="AF67FF"/>
        </a:folHlink>
      </a:clrScheme>
      <a:clrMap bg1="lt1" tx1="dk1" bg2="lt2" tx2="dk2" accent1="accent1" accent2="accent2" accent3="accent3" accent4="accent4" accent5="accent5" accent6="accent6" hlink="hlink" folHlink="folHlink"/>
    </a:extraClrScheme>
    <a:extraClrScheme>
      <a:clrScheme name="1_Blank Presentation 4">
        <a:dk1>
          <a:srgbClr val="000000"/>
        </a:dk1>
        <a:lt1>
          <a:srgbClr val="DEF6F1"/>
        </a:lt1>
        <a:dk2>
          <a:srgbClr val="000000"/>
        </a:dk2>
        <a:lt2>
          <a:srgbClr val="969696"/>
        </a:lt2>
        <a:accent1>
          <a:srgbClr val="FFFFFF"/>
        </a:accent1>
        <a:accent2>
          <a:srgbClr val="8DC6FF"/>
        </a:accent2>
        <a:accent3>
          <a:srgbClr val="ECFAF7"/>
        </a:accent3>
        <a:accent4>
          <a:srgbClr val="000000"/>
        </a:accent4>
        <a:accent5>
          <a:srgbClr val="FFFFFF"/>
        </a:accent5>
        <a:accent6>
          <a:srgbClr val="7FB3E7"/>
        </a:accent6>
        <a:hlink>
          <a:srgbClr val="0066CC"/>
        </a:hlink>
        <a:folHlink>
          <a:srgbClr val="00A800"/>
        </a:folHlink>
      </a:clrScheme>
      <a:clrMap bg1="lt1" tx1="dk1" bg2="lt2" tx2="dk2" accent1="accent1" accent2="accent2" accent3="accent3" accent4="accent4" accent5="accent5" accent6="accent6" hlink="hlink" folHlink="folHlink"/>
    </a:extraClrScheme>
    <a:extraClrScheme>
      <a:clrScheme name="1_Blank Presentation 5">
        <a:dk1>
          <a:srgbClr val="000000"/>
        </a:dk1>
        <a:lt1>
          <a:srgbClr val="FFFFD9"/>
        </a:lt1>
        <a:dk2>
          <a:srgbClr val="000000"/>
        </a:dk2>
        <a:lt2>
          <a:srgbClr val="777777"/>
        </a:lt2>
        <a:accent1>
          <a:srgbClr val="FFFFF7"/>
        </a:accent1>
        <a:accent2>
          <a:srgbClr val="33CCCC"/>
        </a:accent2>
        <a:accent3>
          <a:srgbClr val="FFFFE9"/>
        </a:accent3>
        <a:accent4>
          <a:srgbClr val="000000"/>
        </a:accent4>
        <a:accent5>
          <a:srgbClr val="FFFFFA"/>
        </a:accent5>
        <a:accent6>
          <a:srgbClr val="2DB9B9"/>
        </a:accent6>
        <a:hlink>
          <a:srgbClr val="FF5050"/>
        </a:hlink>
        <a:folHlink>
          <a:srgbClr val="FF9900"/>
        </a:folHlink>
      </a:clrScheme>
      <a:clrMap bg1="lt1" tx1="dk1" bg2="lt2" tx2="dk2" accent1="accent1" accent2="accent2" accent3="accent3" accent4="accent4" accent5="accent5" accent6="accent6" hlink="hlink" folHlink="folHlink"/>
    </a:extraClrScheme>
    <a:extraClrScheme>
      <a:clrScheme name="1_Blank Presentation 6">
        <a:dk1>
          <a:srgbClr val="005A58"/>
        </a:dk1>
        <a:lt1>
          <a:srgbClr val="FFFFFF"/>
        </a:lt1>
        <a:dk2>
          <a:srgbClr val="008080"/>
        </a:dk2>
        <a:lt2>
          <a:srgbClr val="FFFF99"/>
        </a:lt2>
        <a:accent1>
          <a:srgbClr val="006462"/>
        </a:accent1>
        <a:accent2>
          <a:srgbClr val="6D6FC7"/>
        </a:accent2>
        <a:accent3>
          <a:srgbClr val="AAC0C0"/>
        </a:accent3>
        <a:accent4>
          <a:srgbClr val="DADADA"/>
        </a:accent4>
        <a:accent5>
          <a:srgbClr val="AAB8B7"/>
        </a:accent5>
        <a:accent6>
          <a:srgbClr val="6264B4"/>
        </a:accent6>
        <a:hlink>
          <a:srgbClr val="00FFFF"/>
        </a:hlink>
        <a:folHlink>
          <a:srgbClr val="00FF00"/>
        </a:folHlink>
      </a:clrScheme>
      <a:clrMap bg1="dk2" tx1="lt1" bg2="dk1" tx2="lt2" accent1="accent1" accent2="accent2" accent3="accent3" accent4="accent4" accent5="accent5" accent6="accent6" hlink="hlink" folHlink="folHlink"/>
    </a:extraClrScheme>
    <a:extraClrScheme>
      <a:clrScheme name="1_Blank Presentation 7">
        <a:dk1>
          <a:srgbClr val="5C1F00"/>
        </a:dk1>
        <a:lt1>
          <a:srgbClr val="FFFFFF"/>
        </a:lt1>
        <a:dk2>
          <a:srgbClr val="800000"/>
        </a:dk2>
        <a:lt2>
          <a:srgbClr val="DFD293"/>
        </a:lt2>
        <a:accent1>
          <a:srgbClr val="713E39"/>
        </a:accent1>
        <a:accent2>
          <a:srgbClr val="BE7960"/>
        </a:accent2>
        <a:accent3>
          <a:srgbClr val="C0AAAA"/>
        </a:accent3>
        <a:accent4>
          <a:srgbClr val="DADADA"/>
        </a:accent4>
        <a:accent5>
          <a:srgbClr val="BBAFAE"/>
        </a:accent5>
        <a:accent6>
          <a:srgbClr val="AC6D56"/>
        </a:accent6>
        <a:hlink>
          <a:srgbClr val="FFFF99"/>
        </a:hlink>
        <a:folHlink>
          <a:srgbClr val="D3A219"/>
        </a:folHlink>
      </a:clrScheme>
      <a:clrMap bg1="dk2" tx1="lt1" bg2="dk1" tx2="lt2" accent1="accent1" accent2="accent2" accent3="accent3" accent4="accent4" accent5="accent5" accent6="accent6" hlink="hlink" folHlink="folHlink"/>
    </a:extraClrScheme>
    <a:extraClrScheme>
      <a:clrScheme name="1_Blank Presentation 8">
        <a:dk1>
          <a:srgbClr val="003366"/>
        </a:dk1>
        <a:lt1>
          <a:srgbClr val="FFFFFF"/>
        </a:lt1>
        <a:dk2>
          <a:srgbClr val="000099"/>
        </a:dk2>
        <a:lt2>
          <a:srgbClr val="CCFFFF"/>
        </a:lt2>
        <a:accent1>
          <a:srgbClr val="3366CC"/>
        </a:accent1>
        <a:accent2>
          <a:srgbClr val="00B000"/>
        </a:accent2>
        <a:accent3>
          <a:srgbClr val="AAAACA"/>
        </a:accent3>
        <a:accent4>
          <a:srgbClr val="DADADA"/>
        </a:accent4>
        <a:accent5>
          <a:srgbClr val="ADB8E2"/>
        </a:accent5>
        <a:accent6>
          <a:srgbClr val="009F00"/>
        </a:accent6>
        <a:hlink>
          <a:srgbClr val="66CCFF"/>
        </a:hlink>
        <a:folHlink>
          <a:srgbClr val="FFE701"/>
        </a:folHlink>
      </a:clrScheme>
      <a:clrMap bg1="dk2" tx1="lt1" bg2="dk1" tx2="lt2" accent1="accent1" accent2="accent2" accent3="accent3" accent4="accent4" accent5="accent5" accent6="accent6" hlink="hlink" folHlink="folHlink"/>
    </a:extraClrScheme>
    <a:extraClrScheme>
      <a:clrScheme name="1_Blank Presentation 9">
        <a:dk1>
          <a:srgbClr val="336699"/>
        </a:dk1>
        <a:lt1>
          <a:srgbClr val="FFFFFF"/>
        </a:lt1>
        <a:dk2>
          <a:srgbClr val="000000"/>
        </a:dk2>
        <a:lt2>
          <a:srgbClr val="E3EBF1"/>
        </a:lt2>
        <a:accent1>
          <a:srgbClr val="003399"/>
        </a:accent1>
        <a:accent2>
          <a:srgbClr val="468A4B"/>
        </a:accent2>
        <a:accent3>
          <a:srgbClr val="AAAAAA"/>
        </a:accent3>
        <a:accent4>
          <a:srgbClr val="DADADA"/>
        </a:accent4>
        <a:accent5>
          <a:srgbClr val="AAADCA"/>
        </a:accent5>
        <a:accent6>
          <a:srgbClr val="3F7D43"/>
        </a:accent6>
        <a:hlink>
          <a:srgbClr val="66CCFF"/>
        </a:hlink>
        <a:folHlink>
          <a:srgbClr val="F0E500"/>
        </a:folHlink>
      </a:clrScheme>
      <a:clrMap bg1="dk2" tx1="lt1" bg2="dk1" tx2="lt2" accent1="accent1" accent2="accent2" accent3="accent3" accent4="accent4" accent5="accent5" accent6="accent6" hlink="hlink" folHlink="folHlink"/>
    </a:extraClrScheme>
    <a:extraClrScheme>
      <a:clrScheme name="1_Blank Presentation 10">
        <a:dk1>
          <a:srgbClr val="777777"/>
        </a:dk1>
        <a:lt1>
          <a:srgbClr val="FFFFFF"/>
        </a:lt1>
        <a:dk2>
          <a:srgbClr val="686B5D"/>
        </a:dk2>
        <a:lt2>
          <a:srgbClr val="D1D1CB"/>
        </a:lt2>
        <a:accent1>
          <a:srgbClr val="909082"/>
        </a:accent1>
        <a:accent2>
          <a:srgbClr val="809EA8"/>
        </a:accent2>
        <a:accent3>
          <a:srgbClr val="B9BAB6"/>
        </a:accent3>
        <a:accent4>
          <a:srgbClr val="DADADA"/>
        </a:accent4>
        <a:accent5>
          <a:srgbClr val="C6C6C1"/>
        </a:accent5>
        <a:accent6>
          <a:srgbClr val="738F98"/>
        </a:accent6>
        <a:hlink>
          <a:srgbClr val="FFCC66"/>
        </a:hlink>
        <a:folHlink>
          <a:srgbClr val="E9DCB9"/>
        </a:folHlink>
      </a:clrScheme>
      <a:clrMap bg1="dk2" tx1="lt1" bg2="dk1" tx2="lt2" accent1="accent1" accent2="accent2" accent3="accent3" accent4="accent4" accent5="accent5" accent6="accent6" hlink="hlink" folHlink="folHlink"/>
    </a:extraClrScheme>
    <a:extraClrScheme>
      <a:clrScheme name="1_Blank Presentation 11">
        <a:dk1>
          <a:srgbClr val="3E3E5C"/>
        </a:dk1>
        <a:lt1>
          <a:srgbClr val="FFFFFF"/>
        </a:lt1>
        <a:dk2>
          <a:srgbClr val="666699"/>
        </a:dk2>
        <a:lt2>
          <a:srgbClr val="FFFFFF"/>
        </a:lt2>
        <a:accent1>
          <a:srgbClr val="60597B"/>
        </a:accent1>
        <a:accent2>
          <a:srgbClr val="6666FF"/>
        </a:accent2>
        <a:accent3>
          <a:srgbClr val="B8B8CA"/>
        </a:accent3>
        <a:accent4>
          <a:srgbClr val="DADADA"/>
        </a:accent4>
        <a:accent5>
          <a:srgbClr val="B6B5BF"/>
        </a:accent5>
        <a:accent6>
          <a:srgbClr val="5C5CE7"/>
        </a:accent6>
        <a:hlink>
          <a:srgbClr val="99CCFF"/>
        </a:hlink>
        <a:folHlink>
          <a:srgbClr val="FFFF99"/>
        </a:folHlink>
      </a:clrScheme>
      <a:clrMap bg1="dk2" tx1="lt1" bg2="dk1" tx2="lt2" accent1="accent1" accent2="accent2" accent3="accent3" accent4="accent4" accent5="accent5" accent6="accent6" hlink="hlink" folHlink="folHlink"/>
    </a:extraClrScheme>
    <a:extraClrScheme>
      <a:clrScheme name="1_Blank Presentation 12">
        <a:dk1>
          <a:srgbClr val="2D2015"/>
        </a:dk1>
        <a:lt1>
          <a:srgbClr val="FFFFFF"/>
        </a:lt1>
        <a:dk2>
          <a:srgbClr val="523E26"/>
        </a:dk2>
        <a:lt2>
          <a:srgbClr val="DFC08D"/>
        </a:lt2>
        <a:accent1>
          <a:srgbClr val="8C7B70"/>
        </a:accent1>
        <a:accent2>
          <a:srgbClr val="8F5F2F"/>
        </a:accent2>
        <a:accent3>
          <a:srgbClr val="B3AFAC"/>
        </a:accent3>
        <a:accent4>
          <a:srgbClr val="DADADA"/>
        </a:accent4>
        <a:accent5>
          <a:srgbClr val="C5BFBB"/>
        </a:accent5>
        <a:accent6>
          <a:srgbClr val="81552A"/>
        </a:accent6>
        <a:hlink>
          <a:srgbClr val="CCB400"/>
        </a:hlink>
        <a:folHlink>
          <a:srgbClr val="8C9EA0"/>
        </a:folHlink>
      </a:clrScheme>
      <a:clrMap bg1="dk2" tx1="lt1" bg2="dk1" tx2="lt2" accent1="accent1" accent2="accent2" accent3="accent3" accent4="accent4" accent5="accent5" accent6="accent6" hlink="hlink" folHlink="folHlink"/>
    </a:extraClrScheme>
    <a:extraClrScheme>
      <a:clrScheme name="1_Blank Presentation 13">
        <a:dk1>
          <a:srgbClr val="004B8C"/>
        </a:dk1>
        <a:lt1>
          <a:srgbClr val="FFFFFF"/>
        </a:lt1>
        <a:dk2>
          <a:srgbClr val="004B8C"/>
        </a:dk2>
        <a:lt2>
          <a:srgbClr val="BCBDBC"/>
        </a:lt2>
        <a:accent1>
          <a:srgbClr val="00B09C"/>
        </a:accent1>
        <a:accent2>
          <a:srgbClr val="00A0E2"/>
        </a:accent2>
        <a:accent3>
          <a:srgbClr val="FFFFFF"/>
        </a:accent3>
        <a:accent4>
          <a:srgbClr val="003F77"/>
        </a:accent4>
        <a:accent5>
          <a:srgbClr val="AAD4CB"/>
        </a:accent5>
        <a:accent6>
          <a:srgbClr val="0091CD"/>
        </a:accent6>
        <a:hlink>
          <a:srgbClr val="D7004D"/>
        </a:hlink>
        <a:folHlink>
          <a:srgbClr val="591E55"/>
        </a:folHlink>
      </a:clrScheme>
      <a:clrMap bg1="lt1" tx1="dk1" bg2="lt2" tx2="dk2" accent1="accent1" accent2="accent2" accent3="accent3" accent4="accent4" accent5="accent5" accent6="accent6" hlink="hlink" folHlink="folHlink"/>
    </a:extraClrScheme>
  </a:extraClrSchemeLst>
  <a:custClrLst>
    <a:custClr name="Barings Blue 100">
      <a:srgbClr val="004B8C"/>
    </a:custClr>
    <a:custClr name="Barings Blue 80">
      <a:srgbClr val="336FA5"/>
    </a:custClr>
    <a:custClr name="Barings Blue 60">
      <a:srgbClr val="6693BA"/>
    </a:custClr>
    <a:custClr name="Barings Blue 40">
      <a:srgbClr val="99B7D1"/>
    </a:custClr>
    <a:custClr name="Barings Blue 20">
      <a:srgbClr val="CCDBE8"/>
    </a:custClr>
    <a:custClr name="Barings Green 100">
      <a:srgbClr val="00B09D"/>
    </a:custClr>
    <a:custClr name="Barings Green 80">
      <a:srgbClr val="33C0B0"/>
    </a:custClr>
    <a:custClr name="Barings Green 60">
      <a:srgbClr val="66D0C4"/>
    </a:custClr>
    <a:custClr name="Barings Green 40">
      <a:srgbClr val="99DFD7"/>
    </a:custClr>
    <a:custClr name="Barings Green 20">
      <a:srgbClr val="CCEFEB"/>
    </a:custClr>
    <a:custClr name="Barings Red 100">
      <a:srgbClr val="D7004D"/>
    </a:custClr>
    <a:custClr name="Barings Red 80">
      <a:srgbClr val="DF3371"/>
    </a:custClr>
    <a:custClr name="Barings Red 60">
      <a:srgbClr val="E76694"/>
    </a:custClr>
    <a:custClr name="Barings Red 40">
      <a:srgbClr val="EF99B8"/>
    </a:custClr>
    <a:custClr name="Barings Red 20">
      <a:srgbClr val="F7CCDB"/>
    </a:custClr>
    <a:custClr name="Barings Light Blue 100">
      <a:srgbClr val="00A0E2"/>
    </a:custClr>
    <a:custClr name="Barings Light Blue 80">
      <a:srgbClr val="33B3E8"/>
    </a:custClr>
    <a:custClr name="Barings Light Blue 60">
      <a:srgbClr val="66C6EE"/>
    </a:custClr>
    <a:custClr name="Barings Light Blue 40">
      <a:srgbClr val="99D9F3"/>
    </a:custClr>
    <a:custClr name="Barings Light Blue 20">
      <a:srgbClr val="CCECF9"/>
    </a:custClr>
    <a:custClr name="Barings Purple 100">
      <a:srgbClr val="591E55"/>
    </a:custClr>
    <a:custClr name="Barings Purple 80">
      <a:srgbClr val="7A4B77"/>
    </a:custClr>
    <a:custClr name="Barings Purple 60">
      <a:srgbClr val="9B7899"/>
    </a:custClr>
    <a:custClr name="Barings Purple 40">
      <a:srgbClr val="BDA7BB"/>
    </a:custClr>
    <a:custClr name="Barings Purple 20">
      <a:srgbClr val="DED2DD"/>
    </a:custClr>
    <a:custClr name="Barings Orange 100">
      <a:srgbClr val="F58025"/>
    </a:custClr>
    <a:custClr name="Barings Orange 80">
      <a:srgbClr val="F79A50"/>
    </a:custClr>
    <a:custClr name="Barings Orange 60">
      <a:srgbClr val="F9B37C"/>
    </a:custClr>
    <a:custClr name="Barings Orange 40">
      <a:srgbClr val="FBCCA8"/>
    </a:custClr>
    <a:custClr name="Barings Orange 20">
      <a:srgbClr val="FDE6D3"/>
    </a:custClr>
    <a:custClr name="Pantone 7502">
      <a:srgbClr val="EDDAAB"/>
    </a:custClr>
    <a:custClr name="Pantone 4725">
      <a:srgbClr val="C99D87"/>
    </a:custClr>
    <a:custClr name="Pantone 410">
      <a:srgbClr val="8D7D74"/>
    </a:custClr>
    <a:custClr name="Cool Grey 4">
      <a:srgbClr val="BCBDBC"/>
    </a:custClr>
    <a:custClr name="Pantone 4745">
      <a:srgbClr val="D4BEB6"/>
    </a:custClr>
    <a:custClr name="Pantone 407">
      <a:srgbClr val="B9B0AD"/>
    </a:custClr>
    <a:custClr name="Black">
      <a:srgbClr val="000000"/>
    </a:custClr>
    <a:custClr name="White">
      <a:srgbClr val="FFFFFF"/>
    </a:custClr>
  </a:custClrLst>
</a:theme>
</file>

<file path=xl/theme/themeOverride1.xml><?xml version="1.0" encoding="utf-8"?>
<a:themeOverride xmlns:a="http://schemas.openxmlformats.org/drawingml/2006/main">
  <a:clrScheme name="Babson Brand Colors">
    <a:dk1>
      <a:srgbClr val="002856"/>
    </a:dk1>
    <a:lt1>
      <a:srgbClr val="FFFFFF"/>
    </a:lt1>
    <a:dk2>
      <a:srgbClr val="002856"/>
    </a:dk2>
    <a:lt2>
      <a:srgbClr val="C3C6C8"/>
    </a:lt2>
    <a:accent1>
      <a:srgbClr val="002856"/>
    </a:accent1>
    <a:accent2>
      <a:srgbClr val="00953A"/>
    </a:accent2>
    <a:accent3>
      <a:srgbClr val="778692"/>
    </a:accent3>
    <a:accent4>
      <a:srgbClr val="276092"/>
    </a:accent4>
    <a:accent5>
      <a:srgbClr val="ADC9E8"/>
    </a:accent5>
    <a:accent6>
      <a:srgbClr val="C3C6C8"/>
    </a:accent6>
    <a:hlink>
      <a:srgbClr val="00953A"/>
    </a:hlink>
    <a:folHlink>
      <a:srgbClr val="00953A"/>
    </a:folHlink>
  </a:clrScheme>
  <a:fontScheme name="Barings Arial">
    <a:majorFont>
      <a:latin typeface="Arial"/>
      <a:ea typeface="ヒラギノ角ゴ Pro W3"/>
      <a:cs typeface=""/>
    </a:majorFont>
    <a:minorFont>
      <a:latin typeface="Arial"/>
      <a:ea typeface="ヒラギノ角ゴ Pro W3"/>
      <a:cs typeface=""/>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2.xml><?xml version="1.0" encoding="utf-8"?>
<a:themeOverride xmlns:a="http://schemas.openxmlformats.org/drawingml/2006/main">
  <a:clrScheme name="Babson Brand Colors">
    <a:dk1>
      <a:srgbClr val="002856"/>
    </a:dk1>
    <a:lt1>
      <a:srgbClr val="FFFFFF"/>
    </a:lt1>
    <a:dk2>
      <a:srgbClr val="002856"/>
    </a:dk2>
    <a:lt2>
      <a:srgbClr val="C3C6C8"/>
    </a:lt2>
    <a:accent1>
      <a:srgbClr val="002856"/>
    </a:accent1>
    <a:accent2>
      <a:srgbClr val="00953A"/>
    </a:accent2>
    <a:accent3>
      <a:srgbClr val="778692"/>
    </a:accent3>
    <a:accent4>
      <a:srgbClr val="276092"/>
    </a:accent4>
    <a:accent5>
      <a:srgbClr val="ADC9E8"/>
    </a:accent5>
    <a:accent6>
      <a:srgbClr val="C3C6C8"/>
    </a:accent6>
    <a:hlink>
      <a:srgbClr val="00953A"/>
    </a:hlink>
    <a:folHlink>
      <a:srgbClr val="00953A"/>
    </a:folHlink>
  </a:clrScheme>
  <a:fontScheme name="Barings Arial">
    <a:majorFont>
      <a:latin typeface="Arial"/>
      <a:ea typeface="ヒラギノ角ゴ Pro W3"/>
      <a:cs typeface=""/>
    </a:majorFont>
    <a:minorFont>
      <a:latin typeface="Arial"/>
      <a:ea typeface="ヒラギノ角ゴ Pro W3"/>
      <a:cs typeface=""/>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3.xml><?xml version="1.0" encoding="utf-8"?>
<a:themeOverride xmlns:a="http://schemas.openxmlformats.org/drawingml/2006/main">
  <a:clrScheme name="Babson Brand Colors">
    <a:dk1>
      <a:srgbClr val="002856"/>
    </a:dk1>
    <a:lt1>
      <a:srgbClr val="FFFFFF"/>
    </a:lt1>
    <a:dk2>
      <a:srgbClr val="002856"/>
    </a:dk2>
    <a:lt2>
      <a:srgbClr val="C3C6C8"/>
    </a:lt2>
    <a:accent1>
      <a:srgbClr val="002856"/>
    </a:accent1>
    <a:accent2>
      <a:srgbClr val="00953A"/>
    </a:accent2>
    <a:accent3>
      <a:srgbClr val="778692"/>
    </a:accent3>
    <a:accent4>
      <a:srgbClr val="276092"/>
    </a:accent4>
    <a:accent5>
      <a:srgbClr val="ADC9E8"/>
    </a:accent5>
    <a:accent6>
      <a:srgbClr val="C3C6C8"/>
    </a:accent6>
    <a:hlink>
      <a:srgbClr val="00953A"/>
    </a:hlink>
    <a:folHlink>
      <a:srgbClr val="00953A"/>
    </a:folHlink>
  </a:clrScheme>
  <a:fontScheme name="Barings Arial">
    <a:majorFont>
      <a:latin typeface="Arial"/>
      <a:ea typeface="ヒラギノ角ゴ Pro W3"/>
      <a:cs typeface=""/>
    </a:majorFont>
    <a:minorFont>
      <a:latin typeface="Arial"/>
      <a:ea typeface="ヒラギノ角ゴ Pro W3"/>
      <a:cs typeface=""/>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5.xml"/><Relationship Id="rId1" Type="http://schemas.openxmlformats.org/officeDocument/2006/relationships/printerSettings" Target="../printerSettings/printerSettings7.bin"/><Relationship Id="rId4" Type="http://schemas.openxmlformats.org/officeDocument/2006/relationships/comments" Target="../comments3.xm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2.vml"/><Relationship Id="rId7" Type="http://schemas.openxmlformats.org/officeDocument/2006/relationships/ctrlProp" Target="../ctrlProps/ctrlProp4.x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ctrlProp" Target="../ctrlProps/ctrlProp3.xml"/><Relationship Id="rId11" Type="http://schemas.openxmlformats.org/officeDocument/2006/relationships/comments" Target="../comments2.xml"/><Relationship Id="rId5" Type="http://schemas.openxmlformats.org/officeDocument/2006/relationships/ctrlProp" Target="../ctrlProps/ctrlProp2.xml"/><Relationship Id="rId10" Type="http://schemas.openxmlformats.org/officeDocument/2006/relationships/ctrlProp" Target="../ctrlProps/ctrlProp7.xml"/><Relationship Id="rId4" Type="http://schemas.openxmlformats.org/officeDocument/2006/relationships/ctrlProp" Target="../ctrlProps/ctrlProp1.xml"/><Relationship Id="rId9" Type="http://schemas.openxmlformats.org/officeDocument/2006/relationships/ctrlProp" Target="../ctrlProps/ctrlProp6.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6.bin"/><Relationship Id="rId6" Type="http://schemas.openxmlformats.org/officeDocument/2006/relationships/table" Target="../tables/table5.xml"/><Relationship Id="rId5" Type="http://schemas.openxmlformats.org/officeDocument/2006/relationships/table" Target="../tables/table4.xml"/><Relationship Id="rId4"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1"/>
  <sheetViews>
    <sheetView workbookViewId="0"/>
  </sheetViews>
  <sheetFormatPr defaultRowHeight="11.25"/>
  <sheetData>
    <row r="1" spans="1:2">
      <c r="B1" t="s">
        <v>1104</v>
      </c>
    </row>
  </sheetData>
  <pageMargins left="0.7" right="0.7" top="0.75" bottom="0.75" header="0.3" footer="0.3"/>
  <legacy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X214"/>
  <sheetViews>
    <sheetView topLeftCell="F59" zoomScale="130" zoomScaleNormal="130" workbookViewId="0">
      <selection activeCell="U86" sqref="U86"/>
    </sheetView>
  </sheetViews>
  <sheetFormatPr defaultRowHeight="11.25"/>
  <cols>
    <col min="3" max="3" width="37.6640625" customWidth="1"/>
    <col min="5" max="5" width="10.5" bestFit="1" customWidth="1"/>
    <col min="6" max="7" width="10.1640625" bestFit="1" customWidth="1"/>
    <col min="8" max="9" width="11" bestFit="1" customWidth="1"/>
    <col min="10" max="11" width="10.5" bestFit="1" customWidth="1"/>
    <col min="12" max="13" width="10.83203125" bestFit="1" customWidth="1"/>
    <col min="14" max="14" width="10.5" bestFit="1" customWidth="1"/>
    <col min="16" max="16" width="26" customWidth="1"/>
  </cols>
  <sheetData>
    <row r="1" spans="1:50">
      <c r="A1" t="s">
        <v>1105</v>
      </c>
    </row>
    <row r="5" spans="1:50" ht="20.25">
      <c r="C5" s="337" t="s">
        <v>1106</v>
      </c>
      <c r="D5" s="337"/>
      <c r="O5" s="338"/>
      <c r="AD5" s="339" t="s">
        <v>1107</v>
      </c>
      <c r="AE5" s="339" t="s">
        <v>1108</v>
      </c>
      <c r="AF5" s="339" t="s">
        <v>1109</v>
      </c>
      <c r="AG5" s="339" t="s">
        <v>1110</v>
      </c>
      <c r="AH5" s="339" t="s">
        <v>1111</v>
      </c>
      <c r="AI5" s="339" t="s">
        <v>1112</v>
      </c>
    </row>
    <row r="6" spans="1:50" ht="14.25">
      <c r="O6" s="338"/>
      <c r="Q6" s="678"/>
      <c r="R6" s="678"/>
      <c r="S6" s="678"/>
      <c r="T6" s="678"/>
      <c r="AD6" s="373">
        <v>173</v>
      </c>
      <c r="AE6" s="506">
        <v>76</v>
      </c>
      <c r="AF6" s="506">
        <v>71</v>
      </c>
      <c r="AG6" s="506">
        <v>59</v>
      </c>
      <c r="AH6" s="506">
        <v>45</v>
      </c>
      <c r="AI6" s="507">
        <v>45</v>
      </c>
    </row>
    <row r="7" spans="1:50" ht="14.25">
      <c r="C7" s="339"/>
      <c r="D7" s="339" t="s">
        <v>1220</v>
      </c>
      <c r="E7" s="339" t="s">
        <v>1221</v>
      </c>
      <c r="F7" s="339" t="s">
        <v>1222</v>
      </c>
      <c r="G7" s="339" t="s">
        <v>1223</v>
      </c>
      <c r="H7" s="339" t="s">
        <v>1224</v>
      </c>
      <c r="I7" s="339" t="s">
        <v>1225</v>
      </c>
      <c r="J7" s="339" t="s">
        <v>1230</v>
      </c>
      <c r="K7" s="339" t="s">
        <v>1226</v>
      </c>
      <c r="L7" s="339" t="s">
        <v>1227</v>
      </c>
      <c r="M7" s="339" t="s">
        <v>1228</v>
      </c>
      <c r="N7" s="339" t="s">
        <v>1229</v>
      </c>
      <c r="O7" s="340" t="s">
        <v>1113</v>
      </c>
      <c r="P7" s="341" t="s">
        <v>1114</v>
      </c>
      <c r="Q7" s="679"/>
      <c r="R7" s="679"/>
      <c r="S7" s="679"/>
      <c r="T7" s="679"/>
      <c r="AB7" s="231" t="s">
        <v>1213</v>
      </c>
      <c r="AC7" s="231"/>
      <c r="AD7" s="231"/>
      <c r="AE7" s="231"/>
      <c r="AF7" s="231"/>
      <c r="AG7" s="231"/>
      <c r="AH7" s="231"/>
      <c r="AI7" s="231"/>
      <c r="AJ7" s="231"/>
      <c r="AK7" s="231"/>
      <c r="AL7" s="231"/>
      <c r="AO7" s="680" t="s">
        <v>1214</v>
      </c>
      <c r="AP7" s="680"/>
      <c r="AQ7" s="680"/>
      <c r="AR7" s="680"/>
      <c r="AS7" s="680"/>
      <c r="AT7" s="680"/>
      <c r="AU7" s="680"/>
      <c r="AV7" s="680"/>
      <c r="AW7" s="680"/>
      <c r="AX7" s="680"/>
    </row>
    <row r="8" spans="1:50" ht="15" thickBot="1">
      <c r="C8" s="339"/>
      <c r="D8" s="339"/>
      <c r="E8" s="339"/>
      <c r="F8" s="339"/>
      <c r="G8" s="339"/>
      <c r="H8" s="339"/>
      <c r="I8" s="339"/>
      <c r="J8" s="339"/>
      <c r="K8" s="339"/>
      <c r="L8" s="339"/>
      <c r="M8" s="339"/>
      <c r="N8" s="339"/>
      <c r="O8" s="340"/>
      <c r="P8" s="342"/>
      <c r="Q8" s="679"/>
      <c r="R8" s="679"/>
      <c r="S8" s="679"/>
      <c r="T8" s="679"/>
      <c r="AB8" s="231"/>
      <c r="AC8" s="231"/>
      <c r="AD8" s="231"/>
      <c r="AE8" s="231"/>
      <c r="AF8" s="231"/>
      <c r="AG8" s="231"/>
      <c r="AH8" s="231"/>
      <c r="AI8" s="231"/>
      <c r="AJ8" s="231"/>
      <c r="AK8" s="231"/>
      <c r="AL8" s="231"/>
      <c r="AO8" s="680"/>
      <c r="AP8" s="680"/>
      <c r="AQ8" s="680"/>
      <c r="AR8" s="680"/>
      <c r="AS8" s="680"/>
      <c r="AT8" s="680"/>
      <c r="AU8" s="680"/>
      <c r="AV8" s="680"/>
      <c r="AW8" s="680"/>
      <c r="AX8" s="680"/>
    </row>
    <row r="9" spans="1:50" ht="14.25">
      <c r="D9" s="343"/>
      <c r="I9" s="344"/>
      <c r="J9" s="345"/>
      <c r="K9" s="345"/>
      <c r="L9" s="345"/>
      <c r="M9" s="345"/>
      <c r="N9" s="346"/>
      <c r="O9" s="338"/>
      <c r="X9" s="665"/>
    </row>
    <row r="10" spans="1:50" ht="15">
      <c r="C10" s="347" t="s">
        <v>1115</v>
      </c>
      <c r="D10" s="343"/>
      <c r="I10" s="348"/>
      <c r="J10" s="349"/>
      <c r="K10" s="349"/>
      <c r="L10" s="349"/>
      <c r="M10" s="349"/>
      <c r="N10" s="350"/>
      <c r="O10" s="338"/>
      <c r="X10" s="665"/>
    </row>
    <row r="11" spans="1:50" ht="15" thickBot="1">
      <c r="D11" s="343"/>
      <c r="I11" s="348"/>
      <c r="J11" s="349"/>
      <c r="K11" s="349"/>
      <c r="L11" s="349"/>
      <c r="M11" s="349"/>
      <c r="N11" s="350"/>
      <c r="O11" s="338"/>
      <c r="X11" s="665"/>
    </row>
    <row r="12" spans="1:50" ht="14.25">
      <c r="C12" s="351" t="s">
        <v>1116</v>
      </c>
      <c r="D12" s="352">
        <v>2084</v>
      </c>
      <c r="E12" s="353">
        <v>2269</v>
      </c>
      <c r="F12" s="354">
        <v>2399</v>
      </c>
      <c r="G12" s="354">
        <v>2660</v>
      </c>
      <c r="H12" s="355">
        <v>2749</v>
      </c>
      <c r="I12" s="356">
        <f>H12*(1+I18)</f>
        <v>2941.4300000000003</v>
      </c>
      <c r="J12" s="356">
        <f t="shared" ref="J12:N12" si="0">I12*(1+J18)</f>
        <v>3147.3301000000006</v>
      </c>
      <c r="K12" s="356">
        <f t="shared" si="0"/>
        <v>3367.643207000001</v>
      </c>
      <c r="L12" s="356">
        <f t="shared" si="0"/>
        <v>3603.3782314900013</v>
      </c>
      <c r="M12" s="356">
        <f t="shared" si="0"/>
        <v>3855.6147076943016</v>
      </c>
      <c r="N12" s="356">
        <f t="shared" si="0"/>
        <v>4125.5077372329033</v>
      </c>
      <c r="O12" s="357"/>
      <c r="X12" s="665"/>
    </row>
    <row r="13" spans="1:50" ht="14.25">
      <c r="C13" s="358" t="s">
        <v>1117</v>
      </c>
      <c r="D13" s="359">
        <v>0.08</v>
      </c>
      <c r="E13" s="360">
        <v>0.08</v>
      </c>
      <c r="F13" s="360">
        <v>0.03</v>
      </c>
      <c r="G13" s="360">
        <v>0.09</v>
      </c>
      <c r="H13" s="360">
        <v>0.04</v>
      </c>
      <c r="I13" s="361"/>
      <c r="J13" s="362"/>
      <c r="K13" s="362"/>
      <c r="L13" s="362"/>
      <c r="M13" s="362"/>
      <c r="N13" s="363"/>
      <c r="O13" s="338"/>
      <c r="P13" t="s">
        <v>1233</v>
      </c>
      <c r="X13" s="665"/>
    </row>
    <row r="14" spans="1:50" ht="14.25">
      <c r="C14" s="358" t="s">
        <v>1118</v>
      </c>
      <c r="D14" s="359">
        <v>0.01</v>
      </c>
      <c r="E14" s="360">
        <v>0.01</v>
      </c>
      <c r="F14" s="360">
        <v>0.05</v>
      </c>
      <c r="G14" s="360">
        <v>0.02</v>
      </c>
      <c r="H14" s="360">
        <v>0.04</v>
      </c>
      <c r="I14" s="361"/>
      <c r="J14" s="362"/>
      <c r="K14" s="362"/>
      <c r="L14" s="362"/>
      <c r="M14" s="362"/>
      <c r="N14" s="363"/>
      <c r="O14" s="338"/>
      <c r="P14" t="s">
        <v>1232</v>
      </c>
      <c r="X14" s="665"/>
    </row>
    <row r="15" spans="1:50" ht="14.25">
      <c r="C15" s="364" t="s">
        <v>1119</v>
      </c>
      <c r="D15" s="359">
        <f>D13+D14</f>
        <v>0.09</v>
      </c>
      <c r="E15" s="365">
        <f>E13+E14</f>
        <v>0.09</v>
      </c>
      <c r="F15" s="365">
        <f>F13+F14</f>
        <v>0.08</v>
      </c>
      <c r="G15" s="365">
        <f>G13+G14</f>
        <v>0.11</v>
      </c>
      <c r="H15" s="365">
        <f>H13+H14</f>
        <v>0.08</v>
      </c>
      <c r="I15" s="366">
        <v>7.0000000000000007E-2</v>
      </c>
      <c r="J15" s="366">
        <v>7.0000000000000007E-2</v>
      </c>
      <c r="K15" s="366">
        <v>7.0000000000000007E-2</v>
      </c>
      <c r="L15" s="366">
        <v>7.0000000000000007E-2</v>
      </c>
      <c r="M15" s="366">
        <v>7.0000000000000007E-2</v>
      </c>
      <c r="N15" s="366">
        <v>7.0000000000000007E-2</v>
      </c>
      <c r="O15" s="338" t="s">
        <v>1120</v>
      </c>
      <c r="X15" s="665"/>
    </row>
    <row r="16" spans="1:50" ht="14.25">
      <c r="C16" s="364" t="s">
        <v>1121</v>
      </c>
      <c r="D16" s="359"/>
      <c r="E16" s="360">
        <v>0</v>
      </c>
      <c r="F16" s="360">
        <v>0</v>
      </c>
      <c r="G16" s="360">
        <v>0.01</v>
      </c>
      <c r="H16" s="360">
        <v>0.02</v>
      </c>
      <c r="I16" s="367">
        <v>0</v>
      </c>
      <c r="J16" s="362">
        <v>0</v>
      </c>
      <c r="K16" s="368">
        <v>0</v>
      </c>
      <c r="L16" s="368">
        <v>0</v>
      </c>
      <c r="M16" s="368">
        <v>0</v>
      </c>
      <c r="N16" s="363">
        <v>0</v>
      </c>
      <c r="O16" s="338"/>
      <c r="X16" s="665"/>
    </row>
    <row r="17" spans="3:24" ht="14.25">
      <c r="C17" s="364" t="s">
        <v>1122</v>
      </c>
      <c r="D17" s="359"/>
      <c r="E17" s="360">
        <v>0.04</v>
      </c>
      <c r="F17" s="360">
        <v>-0.02</v>
      </c>
      <c r="G17" s="360">
        <v>-0.01</v>
      </c>
      <c r="H17" s="360">
        <v>-7.0000000000000007E-2</v>
      </c>
      <c r="I17" s="366">
        <v>0</v>
      </c>
      <c r="J17" s="369">
        <v>0</v>
      </c>
      <c r="K17" s="369">
        <v>0</v>
      </c>
      <c r="L17" s="369">
        <v>0</v>
      </c>
      <c r="M17" s="369">
        <v>0</v>
      </c>
      <c r="N17" s="369">
        <v>0</v>
      </c>
      <c r="O17" s="338"/>
      <c r="X17" s="665"/>
    </row>
    <row r="18" spans="3:24" ht="14.25">
      <c r="C18" s="370" t="s">
        <v>1123</v>
      </c>
      <c r="D18" s="359">
        <f t="shared" ref="D18:I18" si="1">SUM(D15:D17)</f>
        <v>0.09</v>
      </c>
      <c r="E18" s="371">
        <f t="shared" si="1"/>
        <v>0.13</v>
      </c>
      <c r="F18" s="371">
        <f t="shared" si="1"/>
        <v>0.06</v>
      </c>
      <c r="G18" s="371">
        <f t="shared" si="1"/>
        <v>0.11</v>
      </c>
      <c r="H18" s="371">
        <f t="shared" si="1"/>
        <v>0.03</v>
      </c>
      <c r="I18" s="372">
        <f t="shared" si="1"/>
        <v>7.0000000000000007E-2</v>
      </c>
      <c r="J18" s="372">
        <f t="shared" ref="J18:N18" si="2">SUM(J15:J17)</f>
        <v>7.0000000000000007E-2</v>
      </c>
      <c r="K18" s="372">
        <f t="shared" si="2"/>
        <v>7.0000000000000007E-2</v>
      </c>
      <c r="L18" s="372">
        <f t="shared" si="2"/>
        <v>7.0000000000000007E-2</v>
      </c>
      <c r="M18" s="372">
        <f t="shared" si="2"/>
        <v>7.0000000000000007E-2</v>
      </c>
      <c r="N18" s="372">
        <f t="shared" si="2"/>
        <v>7.0000000000000007E-2</v>
      </c>
      <c r="O18" s="338"/>
      <c r="X18" s="665"/>
    </row>
    <row r="19" spans="3:24" ht="14.25">
      <c r="C19" s="358"/>
      <c r="D19" s="373"/>
      <c r="E19" s="349"/>
      <c r="F19" s="349"/>
      <c r="G19" s="349"/>
      <c r="H19" s="349"/>
      <c r="I19" s="361"/>
      <c r="J19" s="362"/>
      <c r="K19" s="362"/>
      <c r="L19" s="362"/>
      <c r="M19" s="362"/>
      <c r="N19" s="363"/>
      <c r="O19" s="338"/>
      <c r="X19" s="665"/>
    </row>
    <row r="20" spans="3:24" ht="14.25">
      <c r="C20" s="374" t="s">
        <v>1124</v>
      </c>
      <c r="D20" s="375">
        <v>1626</v>
      </c>
      <c r="E20" s="376">
        <v>1742</v>
      </c>
      <c r="F20" s="377">
        <v>1822</v>
      </c>
      <c r="G20" s="378">
        <v>1939</v>
      </c>
      <c r="H20" s="378">
        <v>1989</v>
      </c>
      <c r="I20" s="356">
        <f>H20*(1+I26)</f>
        <v>2048.67</v>
      </c>
      <c r="J20" s="356">
        <f>I20*(1+J26)</f>
        <v>2110.1301000000003</v>
      </c>
      <c r="K20" s="356">
        <f t="shared" ref="K20:N20" si="3">J20*(1+K26)</f>
        <v>2173.4340030000003</v>
      </c>
      <c r="L20" s="356">
        <f t="shared" si="3"/>
        <v>2238.6370230900002</v>
      </c>
      <c r="M20" s="356">
        <f t="shared" si="3"/>
        <v>2305.7961337827001</v>
      </c>
      <c r="N20" s="356">
        <f t="shared" si="3"/>
        <v>2374.9700177961813</v>
      </c>
      <c r="O20" s="357"/>
      <c r="P20" s="231" t="s">
        <v>1216</v>
      </c>
      <c r="X20" s="665"/>
    </row>
    <row r="21" spans="3:24" ht="14.25">
      <c r="C21" s="358" t="s">
        <v>1117</v>
      </c>
      <c r="D21" s="359"/>
      <c r="E21" s="360">
        <v>0.02</v>
      </c>
      <c r="F21" s="360">
        <v>0.04</v>
      </c>
      <c r="G21" s="360">
        <v>0.06</v>
      </c>
      <c r="H21" s="360">
        <v>0.04</v>
      </c>
      <c r="I21" s="361"/>
      <c r="J21" s="362"/>
      <c r="K21" s="362"/>
      <c r="L21" s="362"/>
      <c r="M21" s="362"/>
      <c r="N21" s="363"/>
      <c r="O21" s="338"/>
      <c r="X21" s="665"/>
    </row>
    <row r="22" spans="3:24" ht="14.25">
      <c r="C22" s="358" t="s">
        <v>1118</v>
      </c>
      <c r="D22" s="359"/>
      <c r="E22" s="360">
        <v>-0.01</v>
      </c>
      <c r="F22" s="360">
        <v>0</v>
      </c>
      <c r="G22" s="360">
        <v>0.01</v>
      </c>
      <c r="H22" s="360">
        <v>0.03</v>
      </c>
      <c r="I22" s="361"/>
      <c r="J22" s="362"/>
      <c r="K22" s="362"/>
      <c r="L22" s="362"/>
      <c r="M22" s="362"/>
      <c r="N22" s="363"/>
      <c r="O22" s="338"/>
      <c r="X22" s="665"/>
    </row>
    <row r="23" spans="3:24" ht="14.25">
      <c r="C23" s="364" t="s">
        <v>1119</v>
      </c>
      <c r="D23" s="359">
        <f>D21+D22</f>
        <v>0</v>
      </c>
      <c r="E23" s="365">
        <f>E21+E22</f>
        <v>0.01</v>
      </c>
      <c r="F23" s="365">
        <f>F21+F22</f>
        <v>0.04</v>
      </c>
      <c r="G23" s="365">
        <f>G21+G22</f>
        <v>6.9999999999999993E-2</v>
      </c>
      <c r="H23" s="365">
        <f>H21+H22</f>
        <v>7.0000000000000007E-2</v>
      </c>
      <c r="I23" s="379">
        <v>0.03</v>
      </c>
      <c r="J23" s="379">
        <v>0.03</v>
      </c>
      <c r="K23" s="379">
        <v>0.03</v>
      </c>
      <c r="L23" s="379">
        <v>0.03</v>
      </c>
      <c r="M23" s="379">
        <v>0.03</v>
      </c>
      <c r="N23" s="379">
        <v>0.03</v>
      </c>
      <c r="O23" s="338"/>
      <c r="P23" t="s">
        <v>1217</v>
      </c>
      <c r="X23" s="665"/>
    </row>
    <row r="24" spans="3:24" ht="14.25">
      <c r="C24" s="364" t="s">
        <v>1121</v>
      </c>
      <c r="D24" s="359"/>
      <c r="E24" s="360">
        <v>0</v>
      </c>
      <c r="F24" s="360">
        <v>0.01</v>
      </c>
      <c r="G24" s="360">
        <v>0</v>
      </c>
      <c r="H24" s="360">
        <v>0</v>
      </c>
      <c r="I24" s="379">
        <v>0</v>
      </c>
      <c r="J24" s="379">
        <v>0</v>
      </c>
      <c r="K24" s="379">
        <v>0</v>
      </c>
      <c r="L24" s="379">
        <v>0</v>
      </c>
      <c r="M24" s="379">
        <v>0</v>
      </c>
      <c r="N24" s="379">
        <v>0</v>
      </c>
      <c r="O24" s="338"/>
      <c r="P24" t="s">
        <v>1231</v>
      </c>
      <c r="X24" s="665"/>
    </row>
    <row r="25" spans="3:24" ht="14.25">
      <c r="C25" s="364" t="s">
        <v>1122</v>
      </c>
      <c r="D25" s="359"/>
      <c r="E25" s="360">
        <v>0.13</v>
      </c>
      <c r="F25" s="360">
        <v>0</v>
      </c>
      <c r="G25" s="360">
        <v>-0.01</v>
      </c>
      <c r="H25" s="360">
        <v>-0.04</v>
      </c>
      <c r="I25" s="379">
        <v>0</v>
      </c>
      <c r="J25" s="379">
        <v>0</v>
      </c>
      <c r="K25" s="379">
        <v>0</v>
      </c>
      <c r="L25" s="379">
        <v>0</v>
      </c>
      <c r="M25" s="379">
        <v>0</v>
      </c>
      <c r="N25" s="379">
        <v>0</v>
      </c>
      <c r="O25" s="338"/>
      <c r="P25" s="380"/>
      <c r="X25" s="665"/>
    </row>
    <row r="26" spans="3:24" ht="14.25">
      <c r="C26" s="370" t="s">
        <v>1123</v>
      </c>
      <c r="D26" s="359">
        <f t="shared" ref="D26:I26" si="4">SUM(D23:D25)</f>
        <v>0</v>
      </c>
      <c r="E26" s="371">
        <f t="shared" si="4"/>
        <v>0.14000000000000001</v>
      </c>
      <c r="F26" s="371">
        <f t="shared" si="4"/>
        <v>0.05</v>
      </c>
      <c r="G26" s="371">
        <f t="shared" si="4"/>
        <v>5.9999999999999991E-2</v>
      </c>
      <c r="H26" s="371">
        <f t="shared" si="4"/>
        <v>3.0000000000000006E-2</v>
      </c>
      <c r="I26" s="372">
        <f t="shared" si="4"/>
        <v>0.03</v>
      </c>
      <c r="J26" s="372">
        <v>0.03</v>
      </c>
      <c r="K26" s="372">
        <v>0.03</v>
      </c>
      <c r="L26" s="372">
        <v>0.03</v>
      </c>
      <c r="M26" s="372">
        <v>0.03</v>
      </c>
      <c r="N26" s="372">
        <v>0.03</v>
      </c>
      <c r="O26" s="338"/>
      <c r="X26" s="665"/>
    </row>
    <row r="27" spans="3:24" ht="14.25">
      <c r="C27" s="358"/>
      <c r="D27" s="373"/>
      <c r="E27" s="349"/>
      <c r="F27" s="349"/>
      <c r="G27" s="349"/>
      <c r="H27" s="349"/>
      <c r="I27" s="361">
        <f>H28*(1+I31)</f>
        <v>494.9</v>
      </c>
      <c r="J27" s="362"/>
      <c r="K27" s="362"/>
      <c r="L27" s="362"/>
      <c r="M27" s="362"/>
      <c r="N27" s="363"/>
      <c r="O27" s="338"/>
      <c r="X27" s="665"/>
    </row>
    <row r="28" spans="3:24" ht="14.25">
      <c r="C28" s="374" t="s">
        <v>1125</v>
      </c>
      <c r="D28" s="375">
        <v>473</v>
      </c>
      <c r="E28" s="376">
        <v>546</v>
      </c>
      <c r="F28" s="377">
        <v>569</v>
      </c>
      <c r="G28" s="377">
        <v>541</v>
      </c>
      <c r="H28" s="377">
        <v>490</v>
      </c>
      <c r="I28" s="356">
        <f>I27+65</f>
        <v>559.9</v>
      </c>
      <c r="J28" s="381">
        <f>I28*(1+J34)</f>
        <v>565.49900000000002</v>
      </c>
      <c r="K28" s="381">
        <f>J28*(1+K34)</f>
        <v>571.15399000000002</v>
      </c>
      <c r="L28" s="381">
        <f>K28*(1+L34)</f>
        <v>576.86552990000007</v>
      </c>
      <c r="M28" s="381">
        <f>L28*(1+M34)</f>
        <v>582.63418519900006</v>
      </c>
      <c r="N28" s="381">
        <f>M28*(1+N34)</f>
        <v>588.46052705099009</v>
      </c>
      <c r="O28" s="644" t="s">
        <v>1201</v>
      </c>
      <c r="X28" s="665"/>
    </row>
    <row r="29" spans="3:24" ht="14.25">
      <c r="C29" s="358" t="s">
        <v>1117</v>
      </c>
      <c r="D29" s="373"/>
      <c r="E29" s="382"/>
      <c r="F29" s="382"/>
      <c r="G29" s="382"/>
      <c r="H29" s="382"/>
      <c r="I29" s="383"/>
      <c r="J29" s="384"/>
      <c r="K29" s="384"/>
      <c r="L29" s="384"/>
      <c r="M29" s="384"/>
      <c r="N29" s="385"/>
      <c r="O29" s="644" t="s">
        <v>1202</v>
      </c>
      <c r="P29">
        <v>0.28999999999999998</v>
      </c>
      <c r="Q29">
        <v>0.75</v>
      </c>
      <c r="R29" s="338">
        <f>O29*P29</f>
        <v>18.849999999999998</v>
      </c>
      <c r="S29" s="338">
        <f>O29*Q29</f>
        <v>48.75</v>
      </c>
      <c r="X29" s="665"/>
    </row>
    <row r="30" spans="3:24" ht="14.25">
      <c r="C30" s="358" t="s">
        <v>1118</v>
      </c>
      <c r="D30" s="373"/>
      <c r="E30" s="382"/>
      <c r="F30" s="382"/>
      <c r="G30" s="382"/>
      <c r="H30" s="382"/>
      <c r="I30" s="383"/>
      <c r="J30" s="384"/>
      <c r="K30" s="384"/>
      <c r="L30" s="384"/>
      <c r="M30" s="384"/>
      <c r="N30" s="385"/>
      <c r="O30" s="338"/>
      <c r="X30" s="665"/>
    </row>
    <row r="31" spans="3:24" ht="14.25">
      <c r="C31" s="364" t="s">
        <v>1119</v>
      </c>
      <c r="D31" s="359"/>
      <c r="E31" s="365"/>
      <c r="F31" s="365"/>
      <c r="G31" s="365"/>
      <c r="H31" s="365">
        <v>0.01</v>
      </c>
      <c r="I31" s="379">
        <v>0.01</v>
      </c>
      <c r="J31" s="379">
        <v>0.01</v>
      </c>
      <c r="K31" s="379">
        <v>0.01</v>
      </c>
      <c r="L31" s="379">
        <v>0.01</v>
      </c>
      <c r="M31" s="379">
        <v>0.01</v>
      </c>
      <c r="N31" s="379">
        <v>0.01</v>
      </c>
      <c r="O31" s="338" t="s">
        <v>1126</v>
      </c>
      <c r="X31" s="665"/>
    </row>
    <row r="32" spans="3:24" ht="14.25">
      <c r="C32" s="364" t="s">
        <v>1121</v>
      </c>
      <c r="D32" s="373"/>
      <c r="E32" s="349"/>
      <c r="F32" s="349"/>
      <c r="G32" s="349"/>
      <c r="H32" s="349"/>
      <c r="I32" s="379">
        <f>65/H28</f>
        <v>0.1326530612244898</v>
      </c>
      <c r="J32" s="365">
        <v>0</v>
      </c>
      <c r="K32" s="365">
        <v>0</v>
      </c>
      <c r="L32" s="365">
        <v>0</v>
      </c>
      <c r="M32" s="365">
        <v>0</v>
      </c>
      <c r="N32" s="365">
        <v>0</v>
      </c>
      <c r="O32" s="338"/>
      <c r="X32" s="665"/>
    </row>
    <row r="33" spans="3:27" ht="14.25">
      <c r="C33" s="364" t="s">
        <v>1122</v>
      </c>
      <c r="D33" s="373"/>
      <c r="E33" s="349"/>
      <c r="F33" s="349"/>
      <c r="G33" s="349"/>
      <c r="H33" s="349"/>
      <c r="I33" s="379">
        <v>0</v>
      </c>
      <c r="J33" s="365">
        <v>0</v>
      </c>
      <c r="K33" s="365">
        <v>0</v>
      </c>
      <c r="L33" s="365">
        <v>0</v>
      </c>
      <c r="M33" s="365">
        <v>0</v>
      </c>
      <c r="N33" s="365">
        <v>0</v>
      </c>
      <c r="O33" s="338"/>
      <c r="X33" s="665"/>
    </row>
    <row r="34" spans="3:27" ht="14.25">
      <c r="C34" s="370" t="s">
        <v>1123</v>
      </c>
      <c r="D34" s="373"/>
      <c r="E34" s="386">
        <f>(E28-D28)/D28</f>
        <v>0.15433403805496829</v>
      </c>
      <c r="F34" s="386">
        <f>(F28-E28)/E28</f>
        <v>4.2124542124542128E-2</v>
      </c>
      <c r="G34" s="386">
        <f>(G28-F28)/F28</f>
        <v>-4.9209138840070298E-2</v>
      </c>
      <c r="H34" s="386">
        <f>(H28-G28)/G28</f>
        <v>-9.4269870609981515E-2</v>
      </c>
      <c r="I34" s="682">
        <f>SUM(I31:I33)</f>
        <v>0.14265306122448981</v>
      </c>
      <c r="J34" s="681">
        <f>SUM(J31:J33)</f>
        <v>0.01</v>
      </c>
      <c r="K34" s="681">
        <f t="shared" ref="K34:N34" si="5">SUM(K31:K33)</f>
        <v>0.01</v>
      </c>
      <c r="L34" s="681">
        <f t="shared" si="5"/>
        <v>0.01</v>
      </c>
      <c r="M34" s="681">
        <f t="shared" si="5"/>
        <v>0.01</v>
      </c>
      <c r="N34" s="681">
        <f t="shared" si="5"/>
        <v>0.01</v>
      </c>
      <c r="O34" s="338"/>
      <c r="X34" s="665"/>
    </row>
    <row r="35" spans="3:27" ht="14.25">
      <c r="C35" s="358"/>
      <c r="D35" s="373"/>
      <c r="E35" s="349"/>
      <c r="F35" s="349"/>
      <c r="G35" s="349"/>
      <c r="H35" s="349"/>
      <c r="I35" s="361"/>
      <c r="J35" s="362"/>
      <c r="K35" s="362"/>
      <c r="L35" s="362"/>
      <c r="M35" s="362"/>
      <c r="N35" s="363"/>
      <c r="O35" s="338"/>
      <c r="X35" s="665"/>
    </row>
    <row r="36" spans="3:27" ht="14.25">
      <c r="C36" s="374" t="s">
        <v>1127</v>
      </c>
      <c r="D36" s="375">
        <v>152</v>
      </c>
      <c r="E36" s="376">
        <v>213</v>
      </c>
      <c r="F36" s="377">
        <v>362</v>
      </c>
      <c r="G36" s="377">
        <v>353</v>
      </c>
      <c r="H36" s="377">
        <v>382</v>
      </c>
      <c r="I36" s="356">
        <f>H36*(1+I42)</f>
        <v>420.20000000000005</v>
      </c>
      <c r="J36" s="356">
        <f>I36*(1+J42)</f>
        <v>462.22000000000008</v>
      </c>
      <c r="K36" s="356">
        <f t="shared" ref="K36:N36" si="6">J36*(1+K42)</f>
        <v>508.44200000000012</v>
      </c>
      <c r="L36" s="356">
        <f t="shared" si="6"/>
        <v>559.28620000000012</v>
      </c>
      <c r="M36" s="356">
        <f t="shared" si="6"/>
        <v>615.21482000000015</v>
      </c>
      <c r="N36" s="356">
        <f t="shared" si="6"/>
        <v>676.73630200000025</v>
      </c>
      <c r="O36" s="338"/>
      <c r="X36" s="665"/>
    </row>
    <row r="37" spans="3:27" ht="14.25">
      <c r="C37" s="358" t="s">
        <v>1117</v>
      </c>
      <c r="D37" s="373"/>
      <c r="E37" s="382"/>
      <c r="F37" s="382"/>
      <c r="G37" s="382"/>
      <c r="H37" s="382"/>
      <c r="I37" s="383"/>
      <c r="J37" s="384"/>
      <c r="K37" s="384"/>
      <c r="L37" s="384"/>
      <c r="M37" s="384"/>
      <c r="N37" s="385"/>
      <c r="O37" s="338"/>
      <c r="X37" s="665"/>
    </row>
    <row r="38" spans="3:27" ht="14.25">
      <c r="C38" s="358" t="s">
        <v>1118</v>
      </c>
      <c r="D38" s="373"/>
      <c r="E38" s="382"/>
      <c r="F38" s="382"/>
      <c r="G38" s="382"/>
      <c r="H38" s="382"/>
      <c r="I38" s="383"/>
      <c r="J38" s="384"/>
      <c r="K38" s="384"/>
      <c r="L38" s="384"/>
      <c r="M38" s="384"/>
      <c r="N38" s="385"/>
      <c r="O38" s="338"/>
      <c r="X38" s="665"/>
    </row>
    <row r="39" spans="3:27" ht="14.25">
      <c r="C39" s="364" t="s">
        <v>1119</v>
      </c>
      <c r="D39" s="359">
        <v>0.11</v>
      </c>
      <c r="E39" s="365"/>
      <c r="F39" s="365"/>
      <c r="G39" s="365"/>
      <c r="H39" s="365">
        <v>0.11</v>
      </c>
      <c r="I39" s="379">
        <v>0.1</v>
      </c>
      <c r="J39" s="379">
        <v>0.1</v>
      </c>
      <c r="K39" s="379">
        <v>0.1</v>
      </c>
      <c r="L39" s="379">
        <v>0.1</v>
      </c>
      <c r="M39" s="379">
        <v>0.1</v>
      </c>
      <c r="N39" s="379">
        <v>0.1</v>
      </c>
      <c r="O39" s="338"/>
      <c r="X39" s="665"/>
    </row>
    <row r="40" spans="3:27" ht="14.25">
      <c r="C40" s="364" t="s">
        <v>1121</v>
      </c>
      <c r="D40" s="373"/>
      <c r="E40" s="349"/>
      <c r="F40" s="349"/>
      <c r="G40" s="349"/>
      <c r="H40" s="349"/>
      <c r="I40" s="361"/>
      <c r="J40" s="369">
        <v>0</v>
      </c>
      <c r="K40" s="369">
        <v>0</v>
      </c>
      <c r="L40" s="369">
        <v>0</v>
      </c>
      <c r="M40" s="369">
        <v>0</v>
      </c>
      <c r="N40" s="369">
        <v>0</v>
      </c>
      <c r="O40" s="338"/>
      <c r="P40" t="s">
        <v>1128</v>
      </c>
      <c r="X40" s="665"/>
    </row>
    <row r="41" spans="3:27" ht="14.25">
      <c r="C41" s="364" t="s">
        <v>1122</v>
      </c>
      <c r="D41" s="373"/>
      <c r="E41" s="349"/>
      <c r="F41" s="349"/>
      <c r="G41" s="349"/>
      <c r="H41" s="360">
        <v>0.03</v>
      </c>
      <c r="I41" s="361"/>
      <c r="J41" s="369">
        <v>0</v>
      </c>
      <c r="K41" s="369">
        <v>0</v>
      </c>
      <c r="L41" s="369">
        <v>0</v>
      </c>
      <c r="M41" s="369">
        <v>0</v>
      </c>
      <c r="N41" s="369">
        <v>0</v>
      </c>
      <c r="O41" s="338"/>
      <c r="X41" s="665"/>
    </row>
    <row r="42" spans="3:27" ht="14.25">
      <c r="C42" s="370" t="s">
        <v>1123</v>
      </c>
      <c r="D42" s="373"/>
      <c r="E42" s="371">
        <f>(E36-D36)/D36</f>
        <v>0.40131578947368424</v>
      </c>
      <c r="F42" s="371">
        <f>(F36-E36)/E36</f>
        <v>0.69953051643192488</v>
      </c>
      <c r="G42" s="371">
        <f>(G36-F36)/F36</f>
        <v>-2.4861878453038673E-2</v>
      </c>
      <c r="H42" s="371">
        <f>(H36-G36)/G36</f>
        <v>8.2152974504249299E-2</v>
      </c>
      <c r="I42" s="387">
        <f>SUM(I39:I41)</f>
        <v>0.1</v>
      </c>
      <c r="J42" s="387">
        <f>SUM(J39:J41)</f>
        <v>0.1</v>
      </c>
      <c r="K42" s="387">
        <f t="shared" ref="K42:N42" si="7">SUM(K39:K41)</f>
        <v>0.1</v>
      </c>
      <c r="L42" s="387">
        <f t="shared" si="7"/>
        <v>0.1</v>
      </c>
      <c r="M42" s="387">
        <f t="shared" si="7"/>
        <v>0.1</v>
      </c>
      <c r="N42" s="387">
        <f t="shared" si="7"/>
        <v>0.1</v>
      </c>
      <c r="O42" s="338"/>
      <c r="X42" s="665"/>
    </row>
    <row r="43" spans="3:27" ht="14.25">
      <c r="C43" s="358"/>
      <c r="D43" s="373"/>
      <c r="E43" s="349"/>
      <c r="F43" s="349"/>
      <c r="G43" s="349"/>
      <c r="H43" s="349"/>
      <c r="I43" s="361"/>
      <c r="J43" s="362"/>
      <c r="K43" s="362"/>
      <c r="L43" s="362"/>
      <c r="M43" s="362"/>
      <c r="N43" s="363"/>
      <c r="O43" s="338"/>
      <c r="T43" s="670"/>
      <c r="U43" s="664"/>
      <c r="V43" s="664"/>
      <c r="W43" s="664"/>
      <c r="X43" s="664"/>
      <c r="Y43" s="664"/>
      <c r="Z43" s="664"/>
      <c r="AA43" s="664"/>
    </row>
    <row r="44" spans="3:27" ht="14.25">
      <c r="C44" s="358" t="s">
        <v>1129</v>
      </c>
      <c r="D44" s="373"/>
      <c r="E44" s="349"/>
      <c r="F44" s="349"/>
      <c r="G44" s="349">
        <v>86</v>
      </c>
      <c r="H44" s="349">
        <v>112</v>
      </c>
      <c r="I44" s="361">
        <v>128</v>
      </c>
      <c r="J44" s="362"/>
      <c r="K44" s="362"/>
      <c r="L44" s="362"/>
      <c r="M44" s="362"/>
      <c r="N44" s="363"/>
      <c r="O44" s="338"/>
      <c r="T44" s="670"/>
      <c r="U44" s="664"/>
      <c r="V44" s="664"/>
      <c r="W44" s="664"/>
      <c r="X44" s="664"/>
      <c r="Y44" s="664"/>
      <c r="Z44" s="664"/>
      <c r="AA44" s="664"/>
    </row>
    <row r="45" spans="3:27" ht="14.25">
      <c r="C45" s="358"/>
      <c r="D45" s="373"/>
      <c r="E45" s="349"/>
      <c r="F45" s="349"/>
      <c r="G45" s="349"/>
      <c r="H45" s="349"/>
      <c r="I45" s="361"/>
      <c r="J45" s="362"/>
      <c r="K45" s="362"/>
      <c r="L45" s="362"/>
      <c r="M45" s="362"/>
      <c r="N45" s="363"/>
      <c r="O45" s="338"/>
      <c r="T45" s="670"/>
      <c r="U45" s="664"/>
      <c r="V45" s="664"/>
      <c r="W45" s="664"/>
      <c r="X45" s="664"/>
      <c r="Y45" s="664"/>
      <c r="Z45" s="664"/>
      <c r="AA45" s="664"/>
    </row>
    <row r="46" spans="3:27" ht="14.25">
      <c r="C46" s="358"/>
      <c r="D46" s="373"/>
      <c r="E46" s="349"/>
      <c r="F46" s="349"/>
      <c r="G46" s="349"/>
      <c r="H46" s="349"/>
      <c r="I46" s="361">
        <f>I36+I28+I20+I12</f>
        <v>5970.2000000000007</v>
      </c>
      <c r="J46" s="361">
        <f>J36+J28+J20+J12</f>
        <v>6285.1792000000005</v>
      </c>
      <c r="K46" s="361">
        <f t="shared" ref="K46:N46" si="8">K36+K28+K20+K12</f>
        <v>6620.6732000000011</v>
      </c>
      <c r="L46" s="361">
        <f t="shared" si="8"/>
        <v>6978.1669844800017</v>
      </c>
      <c r="M46" s="361">
        <f t="shared" si="8"/>
        <v>7359.2598466760019</v>
      </c>
      <c r="N46" s="361">
        <f t="shared" si="8"/>
        <v>7765.674584080075</v>
      </c>
      <c r="O46" s="338"/>
      <c r="T46" s="670"/>
      <c r="U46" s="664"/>
      <c r="V46" s="664"/>
      <c r="W46" s="664"/>
      <c r="X46" s="664"/>
      <c r="Y46" s="664"/>
      <c r="Z46" s="664"/>
      <c r="AA46" s="664"/>
    </row>
    <row r="47" spans="3:27" ht="15">
      <c r="C47" s="388" t="s">
        <v>1130</v>
      </c>
      <c r="D47" s="373">
        <v>4335</v>
      </c>
      <c r="E47" s="389">
        <v>4963</v>
      </c>
      <c r="F47" s="389">
        <v>5169</v>
      </c>
      <c r="G47" s="389">
        <v>5579</v>
      </c>
      <c r="H47" s="389">
        <v>5722</v>
      </c>
      <c r="I47" s="390">
        <f t="shared" ref="I47:N47" si="9">H47*(1+I53)</f>
        <v>6088.8845235335502</v>
      </c>
      <c r="J47" s="391">
        <f>I47*(1+J53)</f>
        <v>6413.9005905914892</v>
      </c>
      <c r="K47" s="391">
        <f t="shared" si="9"/>
        <v>6760.2293590026929</v>
      </c>
      <c r="L47" s="391">
        <f t="shared" si="9"/>
        <v>7129.4201739048885</v>
      </c>
      <c r="M47" s="391">
        <f t="shared" si="9"/>
        <v>7523.142027486344</v>
      </c>
      <c r="N47" s="392">
        <f t="shared" si="9"/>
        <v>7943.1932110704438</v>
      </c>
      <c r="O47" s="338"/>
      <c r="P47" s="393">
        <f>H77/H130</f>
        <v>1.9430637144148215E-2</v>
      </c>
      <c r="T47" s="670"/>
      <c r="U47" s="671"/>
      <c r="V47" s="671"/>
      <c r="W47" s="671"/>
      <c r="X47" s="671"/>
      <c r="Y47" s="671"/>
      <c r="Z47" s="672"/>
      <c r="AA47" s="665"/>
    </row>
    <row r="48" spans="3:27" ht="14.25">
      <c r="C48" s="358" t="s">
        <v>1131</v>
      </c>
      <c r="D48" s="359">
        <v>0.03</v>
      </c>
      <c r="E48" s="396">
        <v>0.06</v>
      </c>
      <c r="F48" s="396">
        <v>0.03</v>
      </c>
      <c r="G48" s="396">
        <v>7.0000000000000007E-2</v>
      </c>
      <c r="H48" s="396">
        <v>0.04</v>
      </c>
      <c r="I48" s="397"/>
      <c r="J48" s="398"/>
      <c r="K48" s="398"/>
      <c r="L48" s="398"/>
      <c r="M48" s="398"/>
      <c r="N48" s="399"/>
      <c r="O48" s="400"/>
      <c r="T48" s="670"/>
      <c r="U48" s="671"/>
      <c r="V48" s="666"/>
      <c r="W48" s="666"/>
      <c r="X48" s="666"/>
      <c r="Y48" s="666"/>
      <c r="Z48" s="666"/>
      <c r="AA48" s="666"/>
    </row>
    <row r="49" spans="3:27" ht="14.25">
      <c r="C49" s="358" t="s">
        <v>1132</v>
      </c>
      <c r="D49" s="359">
        <v>0.01</v>
      </c>
      <c r="E49" s="402">
        <v>0</v>
      </c>
      <c r="F49" s="396">
        <v>0.02</v>
      </c>
      <c r="G49" s="396">
        <v>0.01</v>
      </c>
      <c r="H49" s="396">
        <v>0.03</v>
      </c>
      <c r="I49" s="397"/>
      <c r="J49" s="398"/>
      <c r="K49" s="398"/>
      <c r="L49" s="398"/>
      <c r="M49" s="398"/>
      <c r="N49" s="399"/>
      <c r="O49" s="338"/>
      <c r="T49" s="673"/>
      <c r="U49" s="667"/>
      <c r="V49" s="667"/>
      <c r="W49" s="667"/>
      <c r="X49" s="667"/>
      <c r="Y49" s="667"/>
      <c r="Z49" s="674"/>
      <c r="AA49" s="674"/>
    </row>
    <row r="50" spans="3:27" ht="14.25">
      <c r="C50" s="364" t="s">
        <v>1133</v>
      </c>
      <c r="D50" s="359">
        <v>0.01</v>
      </c>
      <c r="E50" s="406">
        <f>6%</f>
        <v>0.06</v>
      </c>
      <c r="F50" s="406">
        <f>5%</f>
        <v>0.05</v>
      </c>
      <c r="G50" s="406">
        <f>G48+G49</f>
        <v>0.08</v>
      </c>
      <c r="H50" s="406">
        <f>H48+H49</f>
        <v>7.0000000000000007E-2</v>
      </c>
      <c r="I50" s="407">
        <f>(I36*I39+I28*I31+I20*I23+I12*I15)/(I12+I20+I28+I36)</f>
        <v>5.2758567552175818E-2</v>
      </c>
      <c r="J50" s="407">
        <f t="shared" ref="J50:N50" si="10">(J36*J39+J28*J31+J20*J23+J12*J15)/(J12+J20+J28+J36)</f>
        <v>5.3378589428285515E-2</v>
      </c>
      <c r="K50" s="407">
        <f t="shared" si="10"/>
        <v>5.3996591234861141E-2</v>
      </c>
      <c r="L50" s="407">
        <f t="shared" si="10"/>
        <v>5.4612172945070099E-2</v>
      </c>
      <c r="M50" s="407">
        <f t="shared" si="10"/>
        <v>5.5224947327772334E-2</v>
      </c>
      <c r="N50" s="407">
        <f t="shared" si="10"/>
        <v>5.5834541212888361E-2</v>
      </c>
      <c r="O50" s="338"/>
      <c r="T50" s="675"/>
      <c r="U50" s="667"/>
      <c r="V50" s="668"/>
      <c r="W50" s="668"/>
      <c r="X50" s="668"/>
      <c r="Y50" s="668"/>
      <c r="Z50" s="668"/>
      <c r="AA50" s="668"/>
    </row>
    <row r="51" spans="3:27" ht="14.25">
      <c r="C51" s="364" t="s">
        <v>1134</v>
      </c>
      <c r="D51" s="359">
        <v>1</v>
      </c>
      <c r="E51" s="406">
        <v>7.0000000000000007E-2</v>
      </c>
      <c r="F51" s="406">
        <v>0</v>
      </c>
      <c r="G51" s="406">
        <v>0</v>
      </c>
      <c r="H51" s="406">
        <v>-0.04</v>
      </c>
      <c r="I51" s="407">
        <f>65/H47</f>
        <v>1.1359664452988466E-2</v>
      </c>
      <c r="J51" s="408">
        <v>0</v>
      </c>
      <c r="K51" s="408">
        <v>0</v>
      </c>
      <c r="L51" s="408">
        <v>0</v>
      </c>
      <c r="M51" s="408">
        <v>0</v>
      </c>
      <c r="N51" s="409">
        <v>0</v>
      </c>
      <c r="O51" s="338"/>
      <c r="T51" s="669"/>
      <c r="U51" s="669"/>
      <c r="V51" s="669"/>
      <c r="W51" s="669"/>
      <c r="X51" s="669"/>
      <c r="Y51" s="669"/>
      <c r="Z51" s="669"/>
      <c r="AA51" s="669"/>
    </row>
    <row r="52" spans="3:27" ht="14.25">
      <c r="C52" s="364" t="s">
        <v>1135</v>
      </c>
      <c r="D52" s="359">
        <v>3</v>
      </c>
      <c r="E52" s="406">
        <v>0.01</v>
      </c>
      <c r="F52" s="406">
        <v>-0.01</v>
      </c>
      <c r="G52" s="406">
        <v>0</v>
      </c>
      <c r="H52" s="406">
        <v>0</v>
      </c>
      <c r="I52" s="407">
        <v>0</v>
      </c>
      <c r="J52" s="408">
        <v>0</v>
      </c>
      <c r="K52" s="408">
        <v>0</v>
      </c>
      <c r="L52" s="408">
        <v>0</v>
      </c>
      <c r="M52" s="408">
        <v>0</v>
      </c>
      <c r="N52" s="409">
        <v>0</v>
      </c>
      <c r="O52" s="338"/>
      <c r="T52" s="669"/>
      <c r="U52" s="669"/>
      <c r="V52" s="669"/>
      <c r="W52" s="669"/>
      <c r="X52" s="669"/>
      <c r="Y52" s="669"/>
      <c r="Z52" s="669"/>
      <c r="AA52" s="669"/>
    </row>
    <row r="53" spans="3:27" ht="14.25">
      <c r="C53" s="370" t="s">
        <v>1136</v>
      </c>
      <c r="D53" s="359"/>
      <c r="E53" s="412">
        <f>E47/D47-1</f>
        <v>0.14486735870818923</v>
      </c>
      <c r="F53" s="412">
        <f t="shared" ref="F53:G53" si="11">F47/E47-1</f>
        <v>4.1507152931694602E-2</v>
      </c>
      <c r="G53" s="412">
        <f t="shared" si="11"/>
        <v>7.9319017218030474E-2</v>
      </c>
      <c r="H53" s="412">
        <f>H47/G47-1</f>
        <v>2.5631833661946546E-2</v>
      </c>
      <c r="I53" s="413">
        <f>SUM(I50:I52)</f>
        <v>6.4118232005164283E-2</v>
      </c>
      <c r="J53" s="414">
        <f>SUM(J50:J52)</f>
        <v>5.3378589428285515E-2</v>
      </c>
      <c r="K53" s="414">
        <f>SUM(K50:K52)</f>
        <v>5.3996591234861141E-2</v>
      </c>
      <c r="L53" s="414">
        <f t="shared" ref="L53:N53" si="12">SUM(L50:L52)</f>
        <v>5.4612172945070099E-2</v>
      </c>
      <c r="M53" s="414">
        <f t="shared" si="12"/>
        <v>5.5224947327772334E-2</v>
      </c>
      <c r="N53" s="414">
        <f t="shared" si="12"/>
        <v>5.5834541212888361E-2</v>
      </c>
      <c r="O53" s="338" t="s">
        <v>1137</v>
      </c>
      <c r="T53" s="669"/>
      <c r="U53" s="669"/>
      <c r="V53" s="669"/>
      <c r="W53" s="669"/>
      <c r="X53" s="669"/>
      <c r="Y53" s="669"/>
      <c r="Z53" s="669"/>
      <c r="AA53" s="669"/>
    </row>
    <row r="54" spans="3:27" ht="14.25">
      <c r="C54" s="364" t="s">
        <v>1138</v>
      </c>
      <c r="D54" s="373"/>
      <c r="E54" s="389">
        <f>E47*E55</f>
        <v>823.85800000000006</v>
      </c>
      <c r="F54" s="389">
        <f>F47*F55</f>
        <v>930.42</v>
      </c>
      <c r="G54" s="389">
        <f>G47*G55</f>
        <v>1054.431</v>
      </c>
      <c r="H54" s="389">
        <f>H47*H55</f>
        <v>1310.338</v>
      </c>
      <c r="I54" s="390"/>
      <c r="J54" s="391"/>
      <c r="K54" s="391"/>
      <c r="L54" s="391"/>
      <c r="M54" s="391"/>
      <c r="N54" s="392"/>
      <c r="O54" s="338"/>
      <c r="T54" s="669"/>
      <c r="U54" s="669"/>
      <c r="V54" s="669"/>
      <c r="W54" s="669"/>
      <c r="X54" s="669"/>
      <c r="Y54" s="669"/>
      <c r="Z54" s="669"/>
      <c r="AA54" s="669"/>
    </row>
    <row r="55" spans="3:27" ht="14.25">
      <c r="C55" s="415" t="s">
        <v>1139</v>
      </c>
      <c r="D55" s="373"/>
      <c r="E55" s="416">
        <v>0.16600000000000001</v>
      </c>
      <c r="F55" s="416">
        <v>0.18</v>
      </c>
      <c r="G55" s="416">
        <v>0.189</v>
      </c>
      <c r="H55" s="416">
        <v>0.22900000000000001</v>
      </c>
      <c r="I55" s="407"/>
      <c r="J55" s="408"/>
      <c r="K55" s="408"/>
      <c r="L55" s="408"/>
      <c r="M55" s="408"/>
      <c r="N55" s="409"/>
      <c r="O55" s="338"/>
      <c r="T55" s="669"/>
      <c r="U55" s="669"/>
      <c r="V55" s="669"/>
      <c r="W55" s="669"/>
      <c r="X55" s="669"/>
      <c r="Y55" s="669"/>
      <c r="Z55" s="669"/>
      <c r="AA55" s="669"/>
    </row>
    <row r="56" spans="3:27" ht="14.25">
      <c r="C56" s="364" t="s">
        <v>1140</v>
      </c>
      <c r="D56" s="373"/>
      <c r="E56" s="389">
        <v>822</v>
      </c>
      <c r="F56" s="389">
        <v>931</v>
      </c>
      <c r="G56" s="417">
        <v>1053</v>
      </c>
      <c r="H56" s="389">
        <v>1117</v>
      </c>
      <c r="I56" s="390">
        <f>639*2</f>
        <v>1278</v>
      </c>
      <c r="J56" s="391">
        <f>J47*J57</f>
        <v>1353.3330246148041</v>
      </c>
      <c r="K56" s="391">
        <f t="shared" ref="K56:N56" si="13">K47*K57</f>
        <v>1446.6890828265762</v>
      </c>
      <c r="L56" s="391">
        <f t="shared" si="13"/>
        <v>1547.0841777373607</v>
      </c>
      <c r="M56" s="391">
        <f t="shared" si="13"/>
        <v>1655.0912460469956</v>
      </c>
      <c r="N56" s="391">
        <f t="shared" si="13"/>
        <v>1771.332086068709</v>
      </c>
      <c r="O56" s="338"/>
      <c r="T56" s="673"/>
      <c r="U56" s="667"/>
      <c r="V56" s="667"/>
      <c r="W56" s="667"/>
      <c r="X56" s="667"/>
      <c r="Y56" s="667"/>
      <c r="Z56" s="674"/>
      <c r="AA56" s="674"/>
    </row>
    <row r="57" spans="3:27" ht="14.25">
      <c r="C57" s="418" t="s">
        <v>1141</v>
      </c>
      <c r="D57" s="373"/>
      <c r="E57" s="419">
        <f>E56/E47</f>
        <v>0.16562562965948016</v>
      </c>
      <c r="F57" s="419">
        <f>F56/F47</f>
        <v>0.18011220739021086</v>
      </c>
      <c r="G57" s="419">
        <f>G56/G47</f>
        <v>0.18874350241978849</v>
      </c>
      <c r="H57" s="419">
        <f>H56/H47</f>
        <v>0.19521146452289409</v>
      </c>
      <c r="I57" s="420">
        <v>0.20799999999999999</v>
      </c>
      <c r="J57" s="421">
        <v>0.21099999999999999</v>
      </c>
      <c r="K57" s="421">
        <v>0.214</v>
      </c>
      <c r="L57" s="421">
        <v>0.217</v>
      </c>
      <c r="M57" s="421">
        <v>0.22</v>
      </c>
      <c r="N57" s="422">
        <v>0.223</v>
      </c>
      <c r="O57" s="338" t="s">
        <v>1142</v>
      </c>
      <c r="Q57" t="s">
        <v>1215</v>
      </c>
      <c r="T57" s="676"/>
      <c r="U57" s="667"/>
      <c r="V57" s="668"/>
      <c r="W57" s="668"/>
      <c r="X57" s="668"/>
      <c r="Y57" s="668"/>
      <c r="Z57" s="668"/>
      <c r="AA57" s="668"/>
    </row>
    <row r="58" spans="3:27" ht="14.25">
      <c r="C58" s="364" t="s">
        <v>1143</v>
      </c>
      <c r="D58" s="373"/>
      <c r="E58" s="389">
        <v>535</v>
      </c>
      <c r="F58" s="389">
        <v>645</v>
      </c>
      <c r="G58" s="417">
        <v>770</v>
      </c>
      <c r="H58" s="389">
        <v>821</v>
      </c>
      <c r="I58" s="390">
        <f t="shared" ref="I58:N58" si="14">I47*I59</f>
        <v>951.50898422144985</v>
      </c>
      <c r="J58" s="391">
        <f>J47*J59</f>
        <v>1021.540893399306</v>
      </c>
      <c r="K58" s="391">
        <f t="shared" si="14"/>
        <v>1096.9813075268914</v>
      </c>
      <c r="L58" s="391">
        <f t="shared" si="14"/>
        <v>1178.2781009327739</v>
      </c>
      <c r="M58" s="391">
        <f t="shared" si="14"/>
        <v>1265.917873076713</v>
      </c>
      <c r="N58" s="392">
        <f t="shared" si="14"/>
        <v>1360.4293963663583</v>
      </c>
      <c r="O58" s="338"/>
      <c r="T58" s="669"/>
      <c r="U58" s="669"/>
      <c r="V58" s="669"/>
      <c r="W58" s="669"/>
      <c r="X58" s="669"/>
      <c r="Y58" s="669"/>
      <c r="Z58" s="669"/>
      <c r="AA58" s="669"/>
    </row>
    <row r="59" spans="3:27" ht="15" thickBot="1">
      <c r="C59" s="424" t="s">
        <v>1144</v>
      </c>
      <c r="D59" s="425"/>
      <c r="E59" s="426">
        <f>E58/E47</f>
        <v>0.1077977030022164</v>
      </c>
      <c r="F59" s="426">
        <f>F58/F47</f>
        <v>0.12478235635519443</v>
      </c>
      <c r="G59" s="426">
        <f>G58/G47</f>
        <v>0.13801756587202008</v>
      </c>
      <c r="H59" s="426">
        <f>H58/H47</f>
        <v>0.14348130024466971</v>
      </c>
      <c r="I59" s="427">
        <f>I57-(H57-H59)</f>
        <v>0.15626983572177561</v>
      </c>
      <c r="J59" s="427">
        <f>J57-(I57-I59)</f>
        <v>0.15926983572177561</v>
      </c>
      <c r="K59" s="427">
        <f t="shared" ref="K59:N59" si="15">K57-(J57-J59)</f>
        <v>0.16226983572177561</v>
      </c>
      <c r="L59" s="427">
        <f t="shared" si="15"/>
        <v>0.16526983572177562</v>
      </c>
      <c r="M59" s="427">
        <f t="shared" si="15"/>
        <v>0.16826983572177562</v>
      </c>
      <c r="N59" s="427">
        <f t="shared" si="15"/>
        <v>0.17126983572177562</v>
      </c>
      <c r="O59" s="338"/>
      <c r="T59" s="669"/>
      <c r="U59" s="669"/>
      <c r="V59" s="669"/>
      <c r="W59" s="669"/>
      <c r="X59" s="669"/>
      <c r="Y59" s="669"/>
      <c r="Z59" s="669"/>
      <c r="AA59" s="669"/>
    </row>
    <row r="60" spans="3:27" ht="15" thickBot="1">
      <c r="C60" s="349"/>
      <c r="D60" s="373"/>
      <c r="E60" s="428"/>
      <c r="F60" s="499"/>
      <c r="G60" s="499"/>
      <c r="H60" s="499"/>
      <c r="I60" s="429"/>
      <c r="J60" s="430"/>
      <c r="K60" s="430"/>
      <c r="L60" s="430"/>
      <c r="M60" s="430"/>
      <c r="N60" s="431"/>
      <c r="O60" s="338"/>
      <c r="T60" s="669"/>
      <c r="U60" s="669"/>
      <c r="V60" s="669"/>
      <c r="W60" s="669"/>
      <c r="X60" s="669"/>
      <c r="Y60" s="669"/>
      <c r="Z60" s="669"/>
      <c r="AA60" s="669"/>
    </row>
    <row r="61" spans="3:27" ht="14.25">
      <c r="C61" s="432" t="s">
        <v>1145</v>
      </c>
      <c r="D61" s="433"/>
      <c r="E61" s="434"/>
      <c r="F61" s="434"/>
      <c r="G61" s="434"/>
      <c r="H61" s="434"/>
      <c r="I61" s="435"/>
      <c r="J61" s="436"/>
      <c r="K61" s="436"/>
      <c r="L61" s="436"/>
      <c r="M61" s="436"/>
      <c r="N61" s="437"/>
      <c r="O61" s="338"/>
      <c r="T61" s="669"/>
      <c r="U61" s="669"/>
      <c r="V61" s="669"/>
      <c r="W61" s="669"/>
      <c r="X61" s="669"/>
      <c r="Y61" s="669"/>
      <c r="Z61" s="669"/>
      <c r="AA61" s="669"/>
    </row>
    <row r="62" spans="3:27" ht="14.25">
      <c r="C62" s="438" t="s">
        <v>1146</v>
      </c>
      <c r="D62" s="373"/>
      <c r="E62" s="439">
        <v>2528</v>
      </c>
      <c r="F62" s="439">
        <v>2513</v>
      </c>
      <c r="G62" s="439">
        <v>2825</v>
      </c>
      <c r="H62" s="439">
        <v>2913</v>
      </c>
      <c r="I62" s="440">
        <v>2779</v>
      </c>
      <c r="J62" s="441">
        <f>I62*(1+J65)</f>
        <v>2890.1600000000003</v>
      </c>
      <c r="K62" s="442">
        <f>J62*(1+K65)</f>
        <v>3005.7664000000004</v>
      </c>
      <c r="L62" s="442">
        <f>K62*(1+L65)</f>
        <v>3125.9970560000006</v>
      </c>
      <c r="M62" s="442">
        <f>L62*(1+M65)</f>
        <v>3251.0369382400008</v>
      </c>
      <c r="N62" s="442">
        <f>M62*(1+N65)</f>
        <v>3381.0784157696012</v>
      </c>
      <c r="O62" s="338"/>
      <c r="T62" s="669"/>
      <c r="U62" s="669"/>
      <c r="V62" s="669"/>
      <c r="W62" s="669"/>
      <c r="X62" s="669"/>
      <c r="Y62" s="669"/>
      <c r="Z62" s="669"/>
      <c r="AA62" s="669"/>
    </row>
    <row r="63" spans="3:27" ht="14.25">
      <c r="C63" s="358" t="s">
        <v>1131</v>
      </c>
      <c r="D63" s="373"/>
      <c r="E63" s="396">
        <v>0</v>
      </c>
      <c r="F63" s="396">
        <v>0.04</v>
      </c>
      <c r="G63" s="396">
        <v>7.0000000000000007E-2</v>
      </c>
      <c r="H63" s="396">
        <v>0.02</v>
      </c>
      <c r="I63" s="429"/>
      <c r="J63" s="430"/>
      <c r="K63" s="430"/>
      <c r="L63" s="430"/>
      <c r="M63" s="430"/>
      <c r="N63" s="431"/>
      <c r="O63" s="338"/>
      <c r="T63" s="673"/>
      <c r="U63" s="667"/>
      <c r="V63" s="667"/>
      <c r="W63" s="667"/>
      <c r="X63" s="667"/>
      <c r="Y63" s="667"/>
      <c r="Z63" s="674"/>
      <c r="AA63" s="674"/>
    </row>
    <row r="64" spans="3:27" ht="14.25">
      <c r="C64" s="358" t="s">
        <v>1132</v>
      </c>
      <c r="D64" s="373"/>
      <c r="E64" s="396">
        <v>-0.04</v>
      </c>
      <c r="F64" s="396">
        <v>-0.05</v>
      </c>
      <c r="G64" s="396">
        <v>0.06</v>
      </c>
      <c r="H64" s="396">
        <v>0.03</v>
      </c>
      <c r="I64" s="429"/>
      <c r="J64" s="430"/>
      <c r="K64" s="430"/>
      <c r="L64" s="430"/>
      <c r="M64" s="430"/>
      <c r="N64" s="431"/>
      <c r="O64" s="338"/>
      <c r="T64" s="677"/>
      <c r="U64" s="667"/>
      <c r="V64" s="668"/>
      <c r="W64" s="668"/>
      <c r="X64" s="668"/>
      <c r="Y64" s="668"/>
      <c r="Z64" s="668"/>
      <c r="AA64" s="668"/>
    </row>
    <row r="65" spans="3:27" ht="14.25">
      <c r="C65" s="443" t="s">
        <v>1133</v>
      </c>
      <c r="D65" s="684"/>
      <c r="E65" s="444">
        <f>SUM(E63:E64)</f>
        <v>-0.04</v>
      </c>
      <c r="F65" s="444">
        <f>SUM(F63:F64)</f>
        <v>-1.0000000000000002E-2</v>
      </c>
      <c r="G65" s="444">
        <f>SUM(G63:G64)</f>
        <v>0.13</v>
      </c>
      <c r="H65" s="444">
        <f>SUM(H63:H64)</f>
        <v>0.05</v>
      </c>
      <c r="I65" s="445">
        <v>0.04</v>
      </c>
      <c r="J65" s="446">
        <v>0.04</v>
      </c>
      <c r="K65" s="447">
        <v>0.04</v>
      </c>
      <c r="L65" s="447">
        <v>0.04</v>
      </c>
      <c r="M65" s="447">
        <v>0.04</v>
      </c>
      <c r="N65" s="447">
        <v>0.04</v>
      </c>
      <c r="O65" s="338" t="s">
        <v>1147</v>
      </c>
      <c r="T65" s="670"/>
      <c r="U65" s="667"/>
      <c r="V65" s="668"/>
      <c r="W65" s="668"/>
      <c r="X65" s="668"/>
      <c r="Y65" s="668"/>
      <c r="Z65" s="668"/>
      <c r="AA65" s="668"/>
    </row>
    <row r="66" spans="3:27" ht="14.25">
      <c r="C66" s="448" t="s">
        <v>1148</v>
      </c>
      <c r="D66" s="373"/>
      <c r="E66" s="444">
        <v>0</v>
      </c>
      <c r="F66" s="444">
        <v>0.01</v>
      </c>
      <c r="G66" s="444">
        <v>0.01</v>
      </c>
      <c r="H66" s="444">
        <v>0</v>
      </c>
      <c r="I66" s="449">
        <v>0</v>
      </c>
      <c r="J66" s="450">
        <v>0</v>
      </c>
      <c r="K66" s="450">
        <v>0</v>
      </c>
      <c r="L66" s="450">
        <v>0</v>
      </c>
      <c r="M66" s="450">
        <v>0</v>
      </c>
      <c r="N66" s="451">
        <v>0</v>
      </c>
      <c r="O66" s="338"/>
    </row>
    <row r="67" spans="3:27" ht="14.25">
      <c r="C67" s="438" t="s">
        <v>1135</v>
      </c>
      <c r="D67" s="373"/>
      <c r="E67" s="444">
        <v>7.0000000000000007E-2</v>
      </c>
      <c r="F67" s="444">
        <v>-0.01</v>
      </c>
      <c r="G67" s="444">
        <v>-0.02</v>
      </c>
      <c r="H67" s="444">
        <v>-0.02</v>
      </c>
      <c r="I67" s="449">
        <v>0</v>
      </c>
      <c r="J67" s="450">
        <v>0</v>
      </c>
      <c r="K67" s="450">
        <v>0</v>
      </c>
      <c r="L67" s="450">
        <v>0</v>
      </c>
      <c r="M67" s="450">
        <v>0</v>
      </c>
      <c r="N67" s="451">
        <v>0</v>
      </c>
      <c r="O67" s="338"/>
    </row>
    <row r="68" spans="3:27" ht="14.25">
      <c r="C68" s="452" t="s">
        <v>1136</v>
      </c>
      <c r="D68" s="373"/>
      <c r="E68" s="453"/>
      <c r="F68" s="453">
        <f t="shared" ref="F68:G68" si="16">F62/E62-1</f>
        <v>-5.9335443037974445E-3</v>
      </c>
      <c r="G68" s="453">
        <f t="shared" si="16"/>
        <v>0.12415439713489862</v>
      </c>
      <c r="H68" s="453">
        <f>H62/G62-1</f>
        <v>3.1150442477876128E-2</v>
      </c>
      <c r="I68" s="454">
        <f>SUM(I65:I67)</f>
        <v>0.04</v>
      </c>
      <c r="J68" s="454">
        <f t="shared" ref="J68:N68" si="17">SUM(J65:J67)</f>
        <v>0.04</v>
      </c>
      <c r="K68" s="454">
        <f t="shared" si="17"/>
        <v>0.04</v>
      </c>
      <c r="L68" s="454">
        <f t="shared" si="17"/>
        <v>0.04</v>
      </c>
      <c r="M68" s="454">
        <f t="shared" si="17"/>
        <v>0.04</v>
      </c>
      <c r="N68" s="454">
        <f t="shared" si="17"/>
        <v>0.04</v>
      </c>
      <c r="O68" s="338"/>
    </row>
    <row r="69" spans="3:27" ht="14.25">
      <c r="C69" s="455" t="s">
        <v>1138</v>
      </c>
      <c r="D69" s="373"/>
      <c r="E69" s="439">
        <v>2332</v>
      </c>
      <c r="F69" s="439">
        <v>2658</v>
      </c>
      <c r="G69" s="439">
        <v>2933</v>
      </c>
      <c r="H69" s="439">
        <v>3405</v>
      </c>
      <c r="I69" s="440"/>
      <c r="J69" s="441"/>
      <c r="K69" s="441"/>
      <c r="L69" s="441"/>
      <c r="M69" s="441"/>
      <c r="N69" s="456"/>
      <c r="O69" s="338"/>
      <c r="T69">
        <f>19-17.6</f>
        <v>1.3999999999999986</v>
      </c>
      <c r="U69">
        <v>6</v>
      </c>
      <c r="V69">
        <f>T69/U69</f>
        <v>0.23333333333333309</v>
      </c>
    </row>
    <row r="70" spans="3:27" ht="14.25">
      <c r="C70" s="457" t="s">
        <v>1139</v>
      </c>
      <c r="D70" s="373"/>
      <c r="E70" s="458"/>
      <c r="F70" s="458"/>
      <c r="G70" s="458"/>
      <c r="H70" s="458"/>
      <c r="I70" s="440"/>
      <c r="J70" s="441"/>
      <c r="K70" s="441"/>
      <c r="L70" s="441"/>
      <c r="M70" s="441"/>
      <c r="N70" s="456"/>
      <c r="O70" s="338"/>
    </row>
    <row r="71" spans="3:27" ht="14.25">
      <c r="C71" s="448" t="s">
        <v>1140</v>
      </c>
      <c r="D71" s="373"/>
      <c r="E71" s="439">
        <v>384</v>
      </c>
      <c r="F71" s="439">
        <v>435</v>
      </c>
      <c r="G71" s="459">
        <v>488</v>
      </c>
      <c r="H71" s="439">
        <v>512</v>
      </c>
      <c r="I71" s="440">
        <v>520</v>
      </c>
      <c r="J71" s="441">
        <f>J62*J72</f>
        <v>520.22880000000009</v>
      </c>
      <c r="K71" s="441">
        <f>K62*K72</f>
        <v>547.04948480000007</v>
      </c>
      <c r="L71" s="441">
        <f>L62*L72</f>
        <v>575.18345830400006</v>
      </c>
      <c r="M71" s="441">
        <f>M62*M72</f>
        <v>604.69287051264018</v>
      </c>
      <c r="N71" s="441">
        <f>N62*N72</f>
        <v>635.64274216468505</v>
      </c>
      <c r="O71" s="338"/>
    </row>
    <row r="72" spans="3:27" ht="14.25">
      <c r="C72" s="358" t="s">
        <v>1141</v>
      </c>
      <c r="D72" s="373"/>
      <c r="E72" s="460">
        <f>(E71/E62)</f>
        <v>0.15189873417721519</v>
      </c>
      <c r="F72" s="460">
        <f>(F71/F62)</f>
        <v>0.17309988062077197</v>
      </c>
      <c r="G72" s="460">
        <f>(G71/G62)</f>
        <v>0.1727433628318584</v>
      </c>
      <c r="H72" s="460">
        <f>(H71/H62)</f>
        <v>0.17576381737040853</v>
      </c>
      <c r="I72" s="449">
        <v>0.17799999999999999</v>
      </c>
      <c r="J72" s="450">
        <v>0.18</v>
      </c>
      <c r="K72" s="450">
        <v>0.182</v>
      </c>
      <c r="L72" s="450">
        <v>0.184</v>
      </c>
      <c r="M72" s="450">
        <v>0.186</v>
      </c>
      <c r="N72" s="451">
        <v>0.188</v>
      </c>
      <c r="O72" s="338" t="s">
        <v>1149</v>
      </c>
    </row>
    <row r="73" spans="3:27" ht="14.25">
      <c r="C73" s="455" t="s">
        <v>1143</v>
      </c>
      <c r="D73" s="373"/>
      <c r="E73" s="439">
        <v>250</v>
      </c>
      <c r="F73" s="439">
        <v>311</v>
      </c>
      <c r="G73" s="459">
        <v>361</v>
      </c>
      <c r="H73" s="439">
        <v>383</v>
      </c>
      <c r="I73" s="461">
        <v>374</v>
      </c>
      <c r="J73" s="441">
        <f>J62*J74</f>
        <v>392.24025211122552</v>
      </c>
      <c r="K73" s="441">
        <f>K62*K74</f>
        <v>413.94139499567456</v>
      </c>
      <c r="L73" s="441">
        <f>L62*L74</f>
        <v>436.75104490750158</v>
      </c>
      <c r="M73" s="441">
        <f>M62*M74</f>
        <v>460.72316058028167</v>
      </c>
      <c r="N73" s="441">
        <f>N62*N74</f>
        <v>485.91424383503215</v>
      </c>
      <c r="O73" s="338"/>
    </row>
    <row r="74" spans="3:27" ht="15" thickBot="1">
      <c r="C74" s="462" t="s">
        <v>1144</v>
      </c>
      <c r="D74" s="425"/>
      <c r="E74" s="463">
        <f>E73/E62</f>
        <v>9.8892405063291139E-2</v>
      </c>
      <c r="F74" s="463">
        <f>F73/F62</f>
        <v>0.12375646637485077</v>
      </c>
      <c r="G74" s="463">
        <f>G73/G62</f>
        <v>0.12778761061946903</v>
      </c>
      <c r="H74" s="463">
        <f>H73/H62</f>
        <v>0.1314795743220048</v>
      </c>
      <c r="I74" s="464">
        <f t="shared" ref="I74:N74" si="18">I72-I75</f>
        <v>0.13371575695159627</v>
      </c>
      <c r="J74" s="464">
        <f>J72-J75</f>
        <v>0.13571575695159627</v>
      </c>
      <c r="K74" s="464">
        <f t="shared" si="18"/>
        <v>0.13771575695159627</v>
      </c>
      <c r="L74" s="464">
        <f t="shared" si="18"/>
        <v>0.13971575695159627</v>
      </c>
      <c r="M74" s="464">
        <f t="shared" si="18"/>
        <v>0.14171575695159627</v>
      </c>
      <c r="N74" s="464">
        <f t="shared" si="18"/>
        <v>0.14371575695159627</v>
      </c>
      <c r="O74" s="338" t="s">
        <v>1218</v>
      </c>
      <c r="P74" s="465">
        <f>I74/H74</f>
        <v>1.0170078328981722</v>
      </c>
    </row>
    <row r="75" spans="3:27" ht="15" thickBot="1">
      <c r="C75" s="466"/>
      <c r="D75" s="373"/>
      <c r="E75" s="467">
        <f>E72-E74</f>
        <v>5.3006329113924056E-2</v>
      </c>
      <c r="F75" s="467">
        <f>F72-F74</f>
        <v>4.9343414245921202E-2</v>
      </c>
      <c r="G75" s="467">
        <f>G72-G74</f>
        <v>4.4955752212389372E-2</v>
      </c>
      <c r="H75" s="467">
        <f>H72-H74</f>
        <v>4.4284243048403726E-2</v>
      </c>
      <c r="I75" s="468">
        <f t="shared" ref="I75:N75" si="19">H75</f>
        <v>4.4284243048403726E-2</v>
      </c>
      <c r="J75" s="468">
        <f t="shared" si="19"/>
        <v>4.4284243048403726E-2</v>
      </c>
      <c r="K75" s="468">
        <f t="shared" si="19"/>
        <v>4.4284243048403726E-2</v>
      </c>
      <c r="L75" s="468">
        <f t="shared" si="19"/>
        <v>4.4284243048403726E-2</v>
      </c>
      <c r="M75" s="468">
        <f t="shared" si="19"/>
        <v>4.4284243048403726E-2</v>
      </c>
      <c r="N75" s="468">
        <f t="shared" si="19"/>
        <v>4.4284243048403726E-2</v>
      </c>
      <c r="O75" s="338"/>
      <c r="Q75">
        <v>35</v>
      </c>
    </row>
    <row r="76" spans="3:27" ht="14.25">
      <c r="C76" s="469" t="s">
        <v>1150</v>
      </c>
      <c r="D76" s="433"/>
      <c r="E76" s="434"/>
      <c r="F76" s="434"/>
      <c r="G76" s="434"/>
      <c r="H76" s="434"/>
      <c r="I76" s="470">
        <v>175</v>
      </c>
      <c r="J76" s="471">
        <v>179</v>
      </c>
      <c r="K76" s="471">
        <v>182</v>
      </c>
      <c r="L76" s="471">
        <v>185</v>
      </c>
      <c r="M76" s="471">
        <v>188</v>
      </c>
      <c r="N76" s="472">
        <v>191</v>
      </c>
      <c r="O76" s="338" t="s">
        <v>1219</v>
      </c>
      <c r="P76" s="471">
        <v>197</v>
      </c>
      <c r="Q76" s="471">
        <v>200</v>
      </c>
    </row>
    <row r="77" spans="3:27" ht="14.25">
      <c r="C77" s="473" t="s">
        <v>1146</v>
      </c>
      <c r="D77" s="373">
        <v>154</v>
      </c>
      <c r="E77" s="474">
        <v>155</v>
      </c>
      <c r="F77" s="474">
        <v>167</v>
      </c>
      <c r="G77" s="474">
        <v>169</v>
      </c>
      <c r="H77" s="474">
        <v>172</v>
      </c>
      <c r="I77" s="475">
        <v>185</v>
      </c>
      <c r="J77" s="476">
        <f>I77*(1+J83)</f>
        <v>214.6</v>
      </c>
      <c r="K77" s="476">
        <f>J77*(1+K83)</f>
        <v>253.22799999999998</v>
      </c>
      <c r="L77" s="476">
        <f>K77*(1+L83)</f>
        <v>303.87359999999995</v>
      </c>
      <c r="M77" s="476">
        <f>L77*(1+M83)</f>
        <v>364.64831999999996</v>
      </c>
      <c r="N77" s="476">
        <f>M77*(1+N83)</f>
        <v>437.57798399999996</v>
      </c>
      <c r="O77" s="476">
        <f t="shared" ref="O77:Q77" si="20">N77*(1+O83)</f>
        <v>590.73027839999997</v>
      </c>
      <c r="P77" s="476">
        <f t="shared" si="20"/>
        <v>827.0223897599999</v>
      </c>
      <c r="Q77" s="476">
        <f t="shared" si="20"/>
        <v>827.0223897599999</v>
      </c>
      <c r="R77">
        <v>550</v>
      </c>
      <c r="S77">
        <f>750+200</f>
        <v>950</v>
      </c>
      <c r="T77">
        <f>S77/I77</f>
        <v>5.1351351351351351</v>
      </c>
    </row>
    <row r="78" spans="3:27" ht="14.25">
      <c r="C78" s="358" t="s">
        <v>1131</v>
      </c>
      <c r="D78" s="373">
        <v>4</v>
      </c>
      <c r="E78" s="477"/>
      <c r="F78" s="477"/>
      <c r="G78" s="477"/>
      <c r="H78" s="477">
        <v>0.02</v>
      </c>
      <c r="I78" s="429"/>
      <c r="J78" s="430"/>
      <c r="K78" s="430"/>
      <c r="L78" s="430"/>
      <c r="M78" s="430"/>
      <c r="N78" s="431"/>
      <c r="O78" s="338" t="s">
        <v>1153</v>
      </c>
      <c r="Q78">
        <v>350</v>
      </c>
    </row>
    <row r="79" spans="3:27" ht="14.25">
      <c r="C79" s="358" t="s">
        <v>1132</v>
      </c>
      <c r="D79" s="373">
        <v>-1</v>
      </c>
      <c r="E79" s="477"/>
      <c r="F79" s="477"/>
      <c r="G79" s="477"/>
      <c r="H79" s="477">
        <v>0.03</v>
      </c>
      <c r="I79" s="429"/>
      <c r="J79" s="430"/>
      <c r="K79" s="430"/>
      <c r="L79" s="430"/>
      <c r="M79" s="430"/>
      <c r="N79" s="431"/>
      <c r="O79" s="338"/>
      <c r="Q79">
        <v>185</v>
      </c>
    </row>
    <row r="80" spans="3:27" ht="14.25">
      <c r="C80" s="478" t="s">
        <v>1133</v>
      </c>
      <c r="D80" s="683">
        <v>0</v>
      </c>
      <c r="E80" s="479">
        <f>SUM(E78:E79)</f>
        <v>0</v>
      </c>
      <c r="F80" s="479">
        <f>6%</f>
        <v>0.06</v>
      </c>
      <c r="G80" s="479">
        <v>0.03</v>
      </c>
      <c r="H80" s="479">
        <f>SUM(H78:H79)</f>
        <v>0.05</v>
      </c>
      <c r="I80" s="480">
        <v>0.08</v>
      </c>
      <c r="J80" s="481">
        <v>0.16</v>
      </c>
      <c r="K80" s="481">
        <v>0.18</v>
      </c>
      <c r="L80" s="481">
        <v>0.2</v>
      </c>
      <c r="M80" s="481">
        <v>0.2</v>
      </c>
      <c r="N80" s="482">
        <v>0.2</v>
      </c>
      <c r="O80" s="481">
        <v>0.35</v>
      </c>
      <c r="P80" s="482">
        <v>0.4</v>
      </c>
      <c r="Q80">
        <f>Q78/Q79</f>
        <v>1.8918918918918919</v>
      </c>
      <c r="S80" t="s">
        <v>1151</v>
      </c>
      <c r="T80" t="s">
        <v>1152</v>
      </c>
      <c r="W80">
        <f>N77/H77</f>
        <v>2.5440580465116276</v>
      </c>
    </row>
    <row r="81" spans="3:27" ht="14.25">
      <c r="C81" s="483" t="s">
        <v>1134</v>
      </c>
      <c r="D81" s="373">
        <v>0</v>
      </c>
      <c r="E81" s="479"/>
      <c r="F81" s="479">
        <v>0.01</v>
      </c>
      <c r="G81" s="479"/>
      <c r="H81" s="479"/>
      <c r="I81" s="480">
        <v>0</v>
      </c>
      <c r="J81" s="481">
        <v>0</v>
      </c>
      <c r="K81" s="481">
        <v>0</v>
      </c>
      <c r="L81" s="481">
        <v>0</v>
      </c>
      <c r="M81" s="481">
        <v>0</v>
      </c>
      <c r="N81" s="482">
        <v>0</v>
      </c>
      <c r="O81" s="338"/>
      <c r="S81" t="s">
        <v>1154</v>
      </c>
      <c r="T81" t="s">
        <v>1247</v>
      </c>
      <c r="W81">
        <v>1.19</v>
      </c>
    </row>
    <row r="82" spans="3:27" ht="14.25">
      <c r="C82" s="484" t="s">
        <v>1135</v>
      </c>
      <c r="D82" s="373">
        <v>0</v>
      </c>
      <c r="E82" s="479"/>
      <c r="F82" s="479"/>
      <c r="G82" s="479"/>
      <c r="H82" s="479">
        <v>-0.03</v>
      </c>
      <c r="I82" s="480">
        <v>0</v>
      </c>
      <c r="J82" s="481">
        <v>0</v>
      </c>
      <c r="K82" s="481">
        <v>0</v>
      </c>
      <c r="L82" s="481">
        <v>0</v>
      </c>
      <c r="M82" s="481">
        <v>0</v>
      </c>
      <c r="N82" s="482">
        <v>0</v>
      </c>
      <c r="O82" s="338"/>
      <c r="S82" t="s">
        <v>1248</v>
      </c>
      <c r="T82" t="s">
        <v>1249</v>
      </c>
      <c r="AA82">
        <v>86</v>
      </c>
    </row>
    <row r="83" spans="3:27" ht="14.25">
      <c r="C83" s="485" t="s">
        <v>1136</v>
      </c>
      <c r="D83" s="683">
        <v>0.03</v>
      </c>
      <c r="E83" s="486">
        <f t="shared" ref="E83:G83" si="21">E77/D77-1</f>
        <v>6.4935064935065512E-3</v>
      </c>
      <c r="F83" s="486">
        <f t="shared" si="21"/>
        <v>7.7419354838709653E-2</v>
      </c>
      <c r="G83" s="486">
        <f t="shared" si="21"/>
        <v>1.1976047904191711E-2</v>
      </c>
      <c r="H83" s="486">
        <f>H77/G77-1</f>
        <v>1.7751479289940919E-2</v>
      </c>
      <c r="I83" s="487">
        <f>I77/H77-1</f>
        <v>7.5581395348837122E-2</v>
      </c>
      <c r="J83" s="655">
        <f>J82+J81+J80</f>
        <v>0.16</v>
      </c>
      <c r="K83" s="655">
        <f>K82+K81+K80</f>
        <v>0.18</v>
      </c>
      <c r="L83" s="655">
        <f t="shared" ref="L83:N83" si="22">L82+L81+L80</f>
        <v>0.2</v>
      </c>
      <c r="M83" s="655">
        <f t="shared" si="22"/>
        <v>0.2</v>
      </c>
      <c r="N83" s="655">
        <f t="shared" si="22"/>
        <v>0.2</v>
      </c>
      <c r="O83" s="499">
        <f>O80</f>
        <v>0.35</v>
      </c>
      <c r="P83" s="499">
        <f>P80</f>
        <v>0.4</v>
      </c>
      <c r="S83">
        <v>750</v>
      </c>
    </row>
    <row r="84" spans="3:27" ht="14.25">
      <c r="C84" s="484" t="s">
        <v>1138</v>
      </c>
      <c r="D84" s="373"/>
      <c r="E84" s="474"/>
      <c r="F84" s="474"/>
      <c r="G84" s="474"/>
      <c r="H84" s="474"/>
      <c r="I84" s="488"/>
      <c r="J84" s="489"/>
      <c r="K84" s="489"/>
      <c r="L84" s="489"/>
      <c r="M84" s="489"/>
      <c r="N84" s="490"/>
      <c r="O84" s="338"/>
    </row>
    <row r="85" spans="3:27" ht="14.25">
      <c r="C85" s="478" t="s">
        <v>1139</v>
      </c>
      <c r="D85" s="373"/>
      <c r="E85" s="479"/>
      <c r="F85" s="479"/>
      <c r="G85" s="479"/>
      <c r="H85" s="479"/>
      <c r="I85" s="488"/>
      <c r="J85" s="489"/>
      <c r="K85" s="489"/>
      <c r="L85" s="489"/>
      <c r="M85" s="489"/>
      <c r="N85" s="490"/>
      <c r="O85" s="338"/>
      <c r="W85" t="s">
        <v>1129</v>
      </c>
    </row>
    <row r="86" spans="3:27" ht="14.25">
      <c r="C86" s="491"/>
      <c r="D86" s="373"/>
      <c r="E86" s="479"/>
      <c r="F86" s="479"/>
      <c r="G86" s="479"/>
      <c r="H86" s="479"/>
      <c r="I86" s="488"/>
      <c r="J86" s="489"/>
      <c r="K86" s="489"/>
      <c r="L86" s="489"/>
      <c r="M86" s="489"/>
      <c r="N86" s="490"/>
      <c r="O86" s="338"/>
    </row>
    <row r="87" spans="3:27" ht="14.25">
      <c r="C87" s="483" t="s">
        <v>1155</v>
      </c>
      <c r="D87" s="373"/>
      <c r="E87" s="492">
        <f>E92-E77</f>
        <v>-198</v>
      </c>
      <c r="F87" s="492">
        <f>F92-F77</f>
        <v>-191</v>
      </c>
      <c r="G87" s="492">
        <f>G92-G77</f>
        <v>-199</v>
      </c>
      <c r="H87" s="492">
        <f>H92-H77</f>
        <v>-186</v>
      </c>
      <c r="I87" s="493">
        <v>-200</v>
      </c>
      <c r="J87" s="494">
        <v>-200</v>
      </c>
      <c r="K87" s="494">
        <v>-200</v>
      </c>
      <c r="L87" s="494">
        <v>-200</v>
      </c>
      <c r="M87" s="494">
        <v>-200</v>
      </c>
      <c r="N87" s="494">
        <v>-200</v>
      </c>
      <c r="O87" s="338"/>
    </row>
    <row r="88" spans="3:27" ht="14.25">
      <c r="C88" s="491"/>
      <c r="D88" s="373"/>
      <c r="E88" s="479"/>
      <c r="F88" s="479"/>
      <c r="G88" s="479"/>
      <c r="H88" s="479"/>
      <c r="I88" s="488"/>
      <c r="J88" s="489"/>
      <c r="K88" s="489"/>
      <c r="L88" s="489"/>
      <c r="M88" s="489"/>
      <c r="N88" s="490"/>
      <c r="O88" s="338"/>
    </row>
    <row r="89" spans="3:27" ht="14.25">
      <c r="C89" s="491"/>
      <c r="D89" s="373"/>
      <c r="E89" s="479"/>
      <c r="F89" s="479"/>
      <c r="G89" s="479"/>
      <c r="H89" s="479"/>
      <c r="I89" s="488"/>
      <c r="J89" s="489"/>
      <c r="K89" s="489"/>
      <c r="L89" s="489"/>
      <c r="M89" s="489"/>
      <c r="N89" s="490"/>
      <c r="O89" s="338"/>
    </row>
    <row r="90" spans="3:27" ht="14.25">
      <c r="C90" s="483" t="s">
        <v>1140</v>
      </c>
      <c r="D90" s="373"/>
      <c r="E90" s="474">
        <v>-9</v>
      </c>
      <c r="F90" s="474">
        <v>1</v>
      </c>
      <c r="G90" s="495">
        <v>9</v>
      </c>
      <c r="H90" s="474">
        <v>8</v>
      </c>
      <c r="I90" s="488">
        <f>I77*I91</f>
        <v>9.25</v>
      </c>
      <c r="J90" s="488">
        <f t="shared" ref="J90:N90" si="23">J77*J91</f>
        <v>21.46</v>
      </c>
      <c r="K90" s="488">
        <f t="shared" si="23"/>
        <v>30.387359999999997</v>
      </c>
      <c r="L90" s="488">
        <f t="shared" si="23"/>
        <v>39.503567999999994</v>
      </c>
      <c r="M90" s="488">
        <f t="shared" si="23"/>
        <v>58.343731199999993</v>
      </c>
      <c r="N90" s="488">
        <f t="shared" si="23"/>
        <v>83.13981695999999</v>
      </c>
      <c r="O90" s="338"/>
    </row>
    <row r="91" spans="3:27" ht="14.25">
      <c r="C91" s="423" t="s">
        <v>1141</v>
      </c>
      <c r="D91" s="373"/>
      <c r="E91" s="479">
        <f>(E90/E77)</f>
        <v>-5.8064516129032261E-2</v>
      </c>
      <c r="F91" s="479">
        <f>(F90/F77)</f>
        <v>5.9880239520958087E-3</v>
      </c>
      <c r="G91" s="479">
        <f>(G90/G77)</f>
        <v>5.3254437869822487E-2</v>
      </c>
      <c r="H91" s="479">
        <f>(H90/H77)</f>
        <v>4.6511627906976744E-2</v>
      </c>
      <c r="I91" s="480">
        <v>0.05</v>
      </c>
      <c r="J91" s="481">
        <v>0.1</v>
      </c>
      <c r="K91" s="481">
        <v>0.12</v>
      </c>
      <c r="L91" s="481">
        <v>0.13</v>
      </c>
      <c r="M91" s="481">
        <v>0.16</v>
      </c>
      <c r="N91" s="482">
        <v>0.19</v>
      </c>
      <c r="O91" s="338"/>
    </row>
    <row r="92" spans="3:27" ht="14.25">
      <c r="C92" s="423" t="s">
        <v>1156</v>
      </c>
      <c r="D92" s="373"/>
      <c r="E92" s="474">
        <v>-43</v>
      </c>
      <c r="F92" s="474">
        <v>-24</v>
      </c>
      <c r="G92" s="495">
        <v>-30</v>
      </c>
      <c r="H92" s="474">
        <v>-14</v>
      </c>
      <c r="I92" s="488">
        <f t="shared" ref="I92:L92" si="24">I77*I93</f>
        <v>-14.8</v>
      </c>
      <c r="J92" s="488">
        <f t="shared" si="24"/>
        <v>-6.4379999999999997</v>
      </c>
      <c r="K92" s="488">
        <f t="shared" si="24"/>
        <v>-2.5322800000000019</v>
      </c>
      <c r="L92" s="488">
        <f t="shared" si="24"/>
        <v>0</v>
      </c>
      <c r="M92" s="488">
        <f>M77*M93</f>
        <v>10.939449599999998</v>
      </c>
      <c r="N92" s="488">
        <f>N77*N93</f>
        <v>26.254679039999996</v>
      </c>
      <c r="O92" s="338"/>
    </row>
    <row r="93" spans="3:27" ht="15" thickBot="1">
      <c r="C93" s="496" t="s">
        <v>1144</v>
      </c>
      <c r="D93" s="425"/>
      <c r="E93" s="497">
        <f>E92/E77</f>
        <v>-0.27741935483870966</v>
      </c>
      <c r="F93" s="497">
        <f>F92/F77</f>
        <v>-0.1437125748502994</v>
      </c>
      <c r="G93" s="497">
        <f>G92/G77</f>
        <v>-0.17751479289940827</v>
      </c>
      <c r="H93" s="497">
        <f>H92/H77</f>
        <v>-8.1395348837209308E-2</v>
      </c>
      <c r="I93" s="498">
        <f t="shared" ref="I93:L93" si="25">I91-I94</f>
        <v>-0.08</v>
      </c>
      <c r="J93" s="498">
        <f t="shared" si="25"/>
        <v>-0.03</v>
      </c>
      <c r="K93" s="498">
        <f t="shared" si="25"/>
        <v>-1.0000000000000009E-2</v>
      </c>
      <c r="L93" s="498">
        <f t="shared" si="25"/>
        <v>0</v>
      </c>
      <c r="M93" s="498">
        <f>M91-M94</f>
        <v>0.03</v>
      </c>
      <c r="N93" s="498">
        <f>N91-N94</f>
        <v>0.06</v>
      </c>
      <c r="O93" s="338" t="s">
        <v>1157</v>
      </c>
      <c r="T93" s="673"/>
      <c r="U93" s="667"/>
      <c r="V93" s="667"/>
      <c r="W93" s="667"/>
      <c r="X93" s="667"/>
      <c r="Y93" s="667"/>
      <c r="Z93" s="674"/>
      <c r="AA93" s="674"/>
    </row>
    <row r="94" spans="3:27" ht="14.25">
      <c r="D94" s="343"/>
      <c r="E94" s="499">
        <f>E91-E93</f>
        <v>0.2193548387096774</v>
      </c>
      <c r="F94" s="499">
        <f>F91-F93</f>
        <v>0.1497005988023952</v>
      </c>
      <c r="G94" s="499">
        <f>G91-G93</f>
        <v>0.23076923076923075</v>
      </c>
      <c r="H94" s="499">
        <f>H91-H93</f>
        <v>0.12790697674418605</v>
      </c>
      <c r="I94" s="499">
        <v>0.13</v>
      </c>
      <c r="J94" s="499">
        <v>0.13</v>
      </c>
      <c r="K94" s="499">
        <v>0.13</v>
      </c>
      <c r="L94" s="499">
        <v>0.13</v>
      </c>
      <c r="M94" s="499">
        <v>0.13</v>
      </c>
      <c r="N94" s="499">
        <v>0.13</v>
      </c>
      <c r="O94" s="338"/>
      <c r="T94" s="676"/>
      <c r="U94" s="667"/>
      <c r="V94" s="668"/>
      <c r="W94" s="668"/>
      <c r="X94" s="668"/>
      <c r="Y94" s="668"/>
      <c r="Z94" s="668"/>
      <c r="AA94" s="668"/>
    </row>
    <row r="95" spans="3:27" ht="14.25">
      <c r="D95" s="343"/>
      <c r="E95" s="499"/>
      <c r="F95" s="499"/>
      <c r="G95" s="499"/>
      <c r="H95" s="499"/>
      <c r="I95" s="499"/>
      <c r="J95" s="499"/>
      <c r="K95" s="499"/>
      <c r="L95" s="499"/>
      <c r="M95" s="499"/>
      <c r="N95" s="499"/>
      <c r="O95" s="338"/>
      <c r="T95" s="676"/>
      <c r="U95" s="667"/>
      <c r="V95" s="668"/>
      <c r="W95" s="668"/>
      <c r="X95" s="668"/>
      <c r="Y95" s="668"/>
      <c r="Z95" s="668"/>
      <c r="AA95" s="668"/>
    </row>
    <row r="96" spans="3:27" ht="14.25">
      <c r="D96" s="343"/>
      <c r="E96" s="499"/>
      <c r="F96" s="499"/>
      <c r="G96" s="499"/>
      <c r="H96" s="499"/>
      <c r="I96" s="499"/>
      <c r="J96" s="499"/>
      <c r="K96" s="499"/>
      <c r="L96" s="499"/>
      <c r="M96" s="499"/>
      <c r="N96" s="499"/>
      <c r="O96" s="338"/>
      <c r="T96" s="676"/>
      <c r="U96" s="667"/>
      <c r="V96" s="668"/>
      <c r="W96" s="668"/>
      <c r="X96" s="668"/>
      <c r="Y96" s="668"/>
      <c r="Z96" s="668"/>
      <c r="AA96" s="668"/>
    </row>
    <row r="97" spans="3:27" ht="14.25">
      <c r="D97" s="343"/>
      <c r="E97" s="499"/>
      <c r="F97" s="499"/>
      <c r="G97" s="499"/>
      <c r="H97" s="499"/>
      <c r="I97" s="499"/>
      <c r="J97" s="499"/>
      <c r="K97" s="499"/>
      <c r="L97" s="499"/>
      <c r="M97" s="499"/>
      <c r="N97" s="499"/>
      <c r="O97" s="338"/>
      <c r="T97" s="676"/>
      <c r="U97" s="667"/>
      <c r="V97" s="668"/>
      <c r="W97" s="668"/>
      <c r="X97" s="668"/>
      <c r="Y97" s="668"/>
      <c r="Z97" s="668"/>
      <c r="AA97" s="668"/>
    </row>
    <row r="98" spans="3:27" ht="14.25">
      <c r="D98" s="343"/>
      <c r="E98" s="499"/>
      <c r="F98" s="499"/>
      <c r="G98" s="499"/>
      <c r="H98" s="499"/>
      <c r="I98" s="499"/>
      <c r="J98" s="499"/>
      <c r="K98" s="499"/>
      <c r="L98" s="499"/>
      <c r="M98" s="499"/>
      <c r="N98" s="499"/>
      <c r="O98" s="338"/>
      <c r="T98" s="676"/>
      <c r="U98" s="667"/>
      <c r="V98" s="668"/>
      <c r="W98" s="668"/>
      <c r="X98" s="668"/>
      <c r="Y98" s="668"/>
      <c r="Z98" s="668"/>
      <c r="AA98" s="668"/>
    </row>
    <row r="99" spans="3:27" ht="14.25">
      <c r="D99" s="343"/>
      <c r="E99" s="499"/>
      <c r="F99" s="499"/>
      <c r="G99" s="499"/>
      <c r="H99" s="499"/>
      <c r="I99" s="499"/>
      <c r="J99" s="499"/>
      <c r="K99" s="499"/>
      <c r="L99" s="499"/>
      <c r="M99" s="499"/>
      <c r="N99" s="499"/>
      <c r="O99" s="338"/>
      <c r="T99" s="676"/>
      <c r="U99" s="667"/>
      <c r="V99" s="668"/>
      <c r="W99" s="668"/>
      <c r="X99" s="668"/>
      <c r="Y99" s="668"/>
      <c r="Z99" s="668"/>
      <c r="AA99" s="668"/>
    </row>
    <row r="100" spans="3:27" ht="14.25">
      <c r="D100" s="343"/>
      <c r="E100" s="499"/>
      <c r="F100" s="499"/>
      <c r="G100" s="499"/>
      <c r="H100" s="499"/>
      <c r="I100" s="499"/>
      <c r="J100" s="499"/>
      <c r="K100" s="499"/>
      <c r="L100" s="499"/>
      <c r="M100" s="499"/>
      <c r="N100" s="499"/>
      <c r="O100" s="338"/>
      <c r="T100" s="676"/>
      <c r="U100" s="667"/>
      <c r="V100" s="668"/>
      <c r="W100" s="668"/>
      <c r="X100" s="668"/>
      <c r="Y100" s="668"/>
      <c r="Z100" s="668"/>
      <c r="AA100" s="668"/>
    </row>
    <row r="101" spans="3:27" ht="14.25">
      <c r="D101" s="343"/>
      <c r="E101" s="499"/>
      <c r="F101" s="499"/>
      <c r="G101" s="499"/>
      <c r="H101" s="499"/>
      <c r="I101" s="499"/>
      <c r="J101" s="499"/>
      <c r="K101" s="499"/>
      <c r="L101" s="499"/>
      <c r="M101" s="499"/>
      <c r="N101" s="499"/>
      <c r="O101" s="338"/>
      <c r="T101" s="676"/>
      <c r="U101" s="667"/>
      <c r="V101" s="668"/>
      <c r="W101" s="668"/>
      <c r="X101" s="668"/>
      <c r="Y101" s="668"/>
      <c r="Z101" s="668"/>
      <c r="AA101" s="668"/>
    </row>
    <row r="102" spans="3:27" ht="14.25">
      <c r="D102" s="343"/>
      <c r="E102" s="499"/>
      <c r="F102" s="499"/>
      <c r="G102" s="499"/>
      <c r="H102" s="499"/>
      <c r="I102" s="499"/>
      <c r="J102" s="499"/>
      <c r="K102" s="499"/>
      <c r="L102" s="499"/>
      <c r="M102" s="499"/>
      <c r="N102" s="499"/>
      <c r="O102" s="338"/>
      <c r="T102" s="676"/>
      <c r="U102" s="667"/>
      <c r="V102" s="668"/>
      <c r="W102" s="668"/>
      <c r="X102" s="668"/>
      <c r="Y102" s="668"/>
      <c r="Z102" s="668"/>
      <c r="AA102" s="668"/>
    </row>
    <row r="103" spans="3:27" ht="14.25">
      <c r="D103" s="343"/>
      <c r="E103" s="499"/>
      <c r="F103" s="499"/>
      <c r="G103" s="499"/>
      <c r="H103" s="499"/>
      <c r="I103" s="499"/>
      <c r="J103" s="499"/>
      <c r="K103" s="499"/>
      <c r="L103" s="499"/>
      <c r="M103" s="499"/>
      <c r="N103" s="499"/>
      <c r="O103" s="338"/>
      <c r="T103" s="676"/>
      <c r="U103" s="667"/>
      <c r="V103" s="668"/>
      <c r="W103" s="668"/>
      <c r="X103" s="668"/>
      <c r="Y103" s="668"/>
      <c r="Z103" s="668"/>
      <c r="AA103" s="668"/>
    </row>
    <row r="104" spans="3:27" ht="14.25">
      <c r="D104" s="343"/>
      <c r="E104" s="499"/>
      <c r="F104" s="499"/>
      <c r="G104" s="499"/>
      <c r="H104" s="499"/>
      <c r="I104" s="499"/>
      <c r="J104" s="499"/>
      <c r="K104" s="499"/>
      <c r="L104" s="499"/>
      <c r="M104" s="499"/>
      <c r="N104" s="499"/>
      <c r="O104" s="338"/>
      <c r="T104" s="676"/>
      <c r="U104" s="667"/>
      <c r="V104" s="668"/>
      <c r="W104" s="668"/>
      <c r="X104" s="668"/>
      <c r="Y104" s="668"/>
      <c r="Z104" s="668"/>
      <c r="AA104" s="668"/>
    </row>
    <row r="105" spans="3:27" ht="15" thickBot="1">
      <c r="D105" s="343"/>
      <c r="E105" s="499"/>
      <c r="F105" s="499"/>
      <c r="G105" s="499"/>
      <c r="H105" s="499"/>
      <c r="I105" s="499"/>
      <c r="J105" s="499"/>
      <c r="K105" s="499"/>
      <c r="L105" s="499"/>
      <c r="M105" s="499"/>
      <c r="N105" s="499"/>
      <c r="O105" s="338"/>
      <c r="T105" s="676"/>
      <c r="U105" s="667"/>
      <c r="V105" s="668"/>
      <c r="W105" s="668"/>
      <c r="X105" s="668"/>
      <c r="Y105" s="668"/>
      <c r="Z105" s="668"/>
      <c r="AA105" s="668"/>
    </row>
    <row r="106" spans="3:27" ht="14.25">
      <c r="C106" s="500" t="s">
        <v>1158</v>
      </c>
      <c r="D106" s="433"/>
      <c r="E106" s="501"/>
      <c r="F106" s="501"/>
      <c r="G106" s="501"/>
      <c r="H106" s="501"/>
      <c r="I106" s="502"/>
      <c r="J106" s="503"/>
      <c r="K106" s="503"/>
      <c r="L106" s="503"/>
      <c r="M106" s="503"/>
      <c r="N106" s="504"/>
      <c r="O106" s="338"/>
      <c r="T106" s="669"/>
      <c r="U106" s="669"/>
      <c r="V106" s="669"/>
      <c r="W106" s="669"/>
      <c r="X106" s="669"/>
      <c r="Y106" s="669"/>
      <c r="Z106" s="669"/>
      <c r="AA106" s="669"/>
    </row>
    <row r="107" spans="3:27" ht="14.25">
      <c r="C107" s="505" t="s">
        <v>1146</v>
      </c>
      <c r="D107" s="373">
        <v>173</v>
      </c>
      <c r="E107" s="506">
        <v>76</v>
      </c>
      <c r="F107" s="506">
        <v>71</v>
      </c>
      <c r="G107" s="506">
        <v>59</v>
      </c>
      <c r="H107" s="506">
        <v>45</v>
      </c>
      <c r="I107" s="507">
        <v>45</v>
      </c>
      <c r="J107" s="508">
        <v>42</v>
      </c>
      <c r="K107" s="508">
        <v>40</v>
      </c>
      <c r="L107" s="508">
        <v>38</v>
      </c>
      <c r="M107" s="508">
        <v>36</v>
      </c>
      <c r="N107" s="509">
        <v>35</v>
      </c>
      <c r="O107" s="338"/>
      <c r="P107" t="s">
        <v>1159</v>
      </c>
    </row>
    <row r="108" spans="3:27" ht="14.25">
      <c r="C108" s="358" t="s">
        <v>1131</v>
      </c>
      <c r="D108" s="373"/>
      <c r="E108" s="510">
        <v>-11</v>
      </c>
      <c r="F108" s="510"/>
      <c r="G108" s="510"/>
      <c r="H108" s="510"/>
      <c r="I108" s="511"/>
      <c r="J108" s="512"/>
      <c r="K108" s="512"/>
      <c r="L108" s="512"/>
      <c r="M108" s="512"/>
      <c r="N108" s="513"/>
      <c r="O108" s="338"/>
    </row>
    <row r="109" spans="3:27" ht="14.25">
      <c r="C109" s="358" t="s">
        <v>1132</v>
      </c>
      <c r="D109" s="373"/>
      <c r="E109" s="510">
        <v>0</v>
      </c>
      <c r="F109" s="510"/>
      <c r="G109" s="510"/>
      <c r="H109" s="510"/>
      <c r="I109" s="511"/>
      <c r="J109" s="512"/>
      <c r="K109" s="512"/>
      <c r="L109" s="512"/>
      <c r="M109" s="512"/>
      <c r="N109" s="513"/>
      <c r="O109" s="338"/>
    </row>
    <row r="110" spans="3:27" ht="14.25">
      <c r="C110" s="514" t="s">
        <v>1133</v>
      </c>
      <c r="D110" s="373"/>
      <c r="E110" s="506"/>
      <c r="F110" s="506"/>
      <c r="G110" s="506"/>
      <c r="H110" s="506"/>
      <c r="I110" s="507"/>
      <c r="J110" s="508"/>
      <c r="K110" s="508"/>
      <c r="L110" s="508"/>
      <c r="M110" s="508"/>
      <c r="N110" s="509"/>
      <c r="O110" s="338"/>
    </row>
    <row r="111" spans="3:27" ht="14.25">
      <c r="C111" s="515" t="s">
        <v>1160</v>
      </c>
      <c r="D111" s="373"/>
      <c r="E111" s="506"/>
      <c r="F111" s="506"/>
      <c r="G111" s="506"/>
      <c r="H111" s="506"/>
      <c r="I111" s="507"/>
      <c r="J111" s="508"/>
      <c r="K111" s="508"/>
      <c r="L111" s="508"/>
      <c r="M111" s="508"/>
      <c r="N111" s="509"/>
      <c r="O111" s="338"/>
    </row>
    <row r="112" spans="3:27" ht="14.25">
      <c r="C112" s="516" t="s">
        <v>1135</v>
      </c>
      <c r="D112" s="373"/>
      <c r="E112" s="506">
        <v>12</v>
      </c>
      <c r="F112" s="506"/>
      <c r="G112" s="506"/>
      <c r="H112" s="506"/>
      <c r="I112" s="507"/>
      <c r="J112" s="508"/>
      <c r="K112" s="508"/>
      <c r="L112" s="508"/>
      <c r="M112" s="508"/>
      <c r="N112" s="509"/>
      <c r="O112" s="338"/>
    </row>
    <row r="113" spans="2:24" ht="14.25">
      <c r="C113" s="517" t="s">
        <v>1136</v>
      </c>
      <c r="D113" s="373"/>
      <c r="E113" s="518"/>
      <c r="F113" s="518"/>
      <c r="G113" s="518"/>
      <c r="H113" s="518"/>
      <c r="I113" s="507"/>
      <c r="J113" s="508"/>
      <c r="K113" s="508"/>
      <c r="L113" s="508"/>
      <c r="M113" s="508"/>
      <c r="N113" s="509"/>
      <c r="O113" s="338"/>
    </row>
    <row r="114" spans="2:24" ht="14.25">
      <c r="C114" s="516" t="s">
        <v>1138</v>
      </c>
      <c r="D114" s="373"/>
      <c r="E114" s="506"/>
      <c r="F114" s="506"/>
      <c r="G114" s="506"/>
      <c r="H114" s="506"/>
      <c r="I114" s="507"/>
      <c r="J114" s="508"/>
      <c r="K114" s="508"/>
      <c r="L114" s="508"/>
      <c r="M114" s="508"/>
      <c r="N114" s="509"/>
      <c r="O114" s="338"/>
      <c r="P114" s="519"/>
      <c r="Q114" s="403"/>
      <c r="R114" s="404"/>
      <c r="S114" s="404"/>
      <c r="T114" s="520"/>
      <c r="U114" s="520"/>
      <c r="V114" s="521"/>
      <c r="W114" s="521"/>
      <c r="X114" s="520"/>
    </row>
    <row r="115" spans="2:24" ht="14.25">
      <c r="C115" s="514" t="s">
        <v>1139</v>
      </c>
      <c r="D115" s="373"/>
      <c r="E115" s="522"/>
      <c r="F115" s="522"/>
      <c r="G115" s="522"/>
      <c r="H115" s="522"/>
      <c r="I115" s="507"/>
      <c r="J115" s="508"/>
      <c r="K115" s="508"/>
      <c r="L115" s="508"/>
      <c r="M115" s="508"/>
      <c r="N115" s="509"/>
      <c r="O115" s="338"/>
    </row>
    <row r="116" spans="2:24" ht="14.25">
      <c r="C116" s="515" t="s">
        <v>1140</v>
      </c>
      <c r="D116" s="373"/>
      <c r="E116" s="506">
        <v>-122</v>
      </c>
      <c r="F116" s="506">
        <v>-105</v>
      </c>
      <c r="G116" s="506">
        <v>-105</v>
      </c>
      <c r="H116" s="506">
        <v>-105</v>
      </c>
      <c r="I116" s="507">
        <v>-110</v>
      </c>
      <c r="J116" s="508">
        <f>I116</f>
        <v>-110</v>
      </c>
      <c r="K116" s="508">
        <f>J116</f>
        <v>-110</v>
      </c>
      <c r="L116" s="508">
        <f>K116</f>
        <v>-110</v>
      </c>
      <c r="M116" s="508">
        <f>L116</f>
        <v>-110</v>
      </c>
      <c r="N116" s="509">
        <f>M116</f>
        <v>-110</v>
      </c>
      <c r="O116" s="338"/>
    </row>
    <row r="117" spans="2:24" ht="14.25">
      <c r="C117" s="523" t="s">
        <v>1141</v>
      </c>
      <c r="D117" s="373"/>
      <c r="E117" s="522">
        <f t="shared" ref="E117:N117" si="26">E116/E107</f>
        <v>-1.6052631578947369</v>
      </c>
      <c r="F117" s="522">
        <f t="shared" si="26"/>
        <v>-1.4788732394366197</v>
      </c>
      <c r="G117" s="522">
        <f t="shared" si="26"/>
        <v>-1.7796610169491525</v>
      </c>
      <c r="H117" s="522">
        <f t="shared" si="26"/>
        <v>-2.3333333333333335</v>
      </c>
      <c r="I117" s="524">
        <f t="shared" si="26"/>
        <v>-2.4444444444444446</v>
      </c>
      <c r="J117" s="525">
        <f t="shared" si="26"/>
        <v>-2.6190476190476191</v>
      </c>
      <c r="K117" s="525">
        <f t="shared" si="26"/>
        <v>-2.75</v>
      </c>
      <c r="L117" s="525">
        <f t="shared" si="26"/>
        <v>-2.8947368421052633</v>
      </c>
      <c r="M117" s="525">
        <f t="shared" si="26"/>
        <v>-3.0555555555555554</v>
      </c>
      <c r="N117" s="526">
        <f t="shared" si="26"/>
        <v>-3.1428571428571428</v>
      </c>
      <c r="O117" s="338" t="s">
        <v>1161</v>
      </c>
    </row>
    <row r="118" spans="2:24" ht="14.25">
      <c r="C118" s="523" t="s">
        <v>1156</v>
      </c>
      <c r="D118" s="373"/>
      <c r="E118" s="506">
        <v>-169</v>
      </c>
      <c r="F118" s="506">
        <v>-141</v>
      </c>
      <c r="G118" s="506">
        <v>-144</v>
      </c>
      <c r="H118" s="506">
        <v>-135</v>
      </c>
      <c r="I118" s="507">
        <v>-135</v>
      </c>
      <c r="J118" s="507">
        <v>-135</v>
      </c>
      <c r="K118" s="507">
        <v>-135</v>
      </c>
      <c r="L118" s="507">
        <v>-135</v>
      </c>
      <c r="M118" s="507">
        <v>-135</v>
      </c>
      <c r="N118" s="507">
        <v>-135</v>
      </c>
      <c r="O118" s="338"/>
    </row>
    <row r="119" spans="2:24" ht="15" thickBot="1">
      <c r="C119" s="527" t="s">
        <v>1144</v>
      </c>
      <c r="D119" s="425"/>
      <c r="E119" s="528">
        <f>(E118-E107)/E107</f>
        <v>-3.2236842105263159</v>
      </c>
      <c r="F119" s="528">
        <f t="shared" ref="F119:N119" si="27">(F118-F107)/F107</f>
        <v>-2.9859154929577465</v>
      </c>
      <c r="G119" s="528">
        <f t="shared" si="27"/>
        <v>-3.4406779661016951</v>
      </c>
      <c r="H119" s="528">
        <f t="shared" si="27"/>
        <v>-4</v>
      </c>
      <c r="I119" s="528">
        <f t="shared" si="27"/>
        <v>-4</v>
      </c>
      <c r="J119" s="528">
        <f t="shared" si="27"/>
        <v>-4.2142857142857144</v>
      </c>
      <c r="K119" s="528">
        <f t="shared" si="27"/>
        <v>-4.375</v>
      </c>
      <c r="L119" s="528">
        <f t="shared" si="27"/>
        <v>-4.5526315789473681</v>
      </c>
      <c r="M119" s="528">
        <f t="shared" si="27"/>
        <v>-4.75</v>
      </c>
      <c r="N119" s="528">
        <f t="shared" si="27"/>
        <v>-4.8571428571428568</v>
      </c>
      <c r="O119" s="338" t="s">
        <v>1161</v>
      </c>
    </row>
    <row r="120" spans="2:24" ht="15" thickBot="1">
      <c r="D120" s="343"/>
      <c r="I120" s="348"/>
      <c r="J120" s="349"/>
      <c r="K120" s="349"/>
      <c r="L120" s="349"/>
      <c r="M120" s="349"/>
      <c r="N120" s="350"/>
      <c r="O120" s="338"/>
      <c r="P120" s="378"/>
      <c r="Q120" s="529">
        <v>2015</v>
      </c>
      <c r="R120" s="529">
        <v>2016</v>
      </c>
      <c r="S120" s="529">
        <v>2017</v>
      </c>
      <c r="T120" s="530">
        <v>2018</v>
      </c>
    </row>
    <row r="121" spans="2:24" ht="14.25">
      <c r="C121" s="531" t="s">
        <v>1162</v>
      </c>
      <c r="D121" s="373"/>
      <c r="E121" s="339"/>
      <c r="F121" s="339"/>
      <c r="G121" s="339"/>
      <c r="H121" s="339"/>
      <c r="I121" s="532"/>
      <c r="J121" s="531"/>
      <c r="K121" s="531"/>
      <c r="L121" s="531"/>
      <c r="M121" s="531"/>
      <c r="N121" s="533"/>
      <c r="O121" s="340"/>
      <c r="P121" s="349"/>
      <c r="Q121" s="394">
        <f>Q123+Q124+Q125+Q126</f>
        <v>4770</v>
      </c>
      <c r="R121" s="395">
        <v>5169</v>
      </c>
      <c r="S121" s="395">
        <f>S123+S124+S125+S126</f>
        <v>5529.42</v>
      </c>
      <c r="T121" s="534">
        <v>6137</v>
      </c>
    </row>
    <row r="122" spans="2:24" ht="14.25">
      <c r="D122" s="343"/>
      <c r="I122" s="348"/>
      <c r="J122" s="349"/>
      <c r="K122" s="349"/>
      <c r="L122" s="349"/>
      <c r="M122" s="349"/>
      <c r="N122" s="350"/>
      <c r="O122" s="338"/>
      <c r="P122" s="349"/>
      <c r="Q122" s="401" t="e">
        <f>(Q121/P121)-1</f>
        <v>#DIV/0!</v>
      </c>
      <c r="R122" s="401">
        <f>(R121/Q121)-1</f>
        <v>8.3647798742138457E-2</v>
      </c>
      <c r="S122" s="401">
        <f>(S121/R121)-1</f>
        <v>6.9727219965177056E-2</v>
      </c>
      <c r="T122" s="401">
        <f>(T121/S121)-1</f>
        <v>0.10988132570866371</v>
      </c>
    </row>
    <row r="123" spans="2:24" ht="14.25">
      <c r="D123" s="343"/>
      <c r="I123" s="348"/>
      <c r="J123" s="349"/>
      <c r="K123" s="349"/>
      <c r="L123" s="349"/>
      <c r="M123" s="349"/>
      <c r="N123" s="350"/>
      <c r="O123" s="338"/>
      <c r="P123" s="378"/>
      <c r="Q123" s="404">
        <v>2269</v>
      </c>
      <c r="R123" s="405">
        <v>2399</v>
      </c>
      <c r="S123" s="405">
        <v>2660</v>
      </c>
      <c r="T123" s="535">
        <f>S123*(1+[2]Sheet1!H42)</f>
        <v>2660</v>
      </c>
    </row>
    <row r="124" spans="2:24" ht="14.25">
      <c r="C124" t="s">
        <v>1241</v>
      </c>
      <c r="D124" s="343"/>
      <c r="E124" t="s">
        <v>1242</v>
      </c>
      <c r="I124" s="348"/>
      <c r="J124" s="349"/>
      <c r="K124" s="349"/>
      <c r="L124" s="349"/>
      <c r="M124" s="349"/>
      <c r="N124" s="350"/>
      <c r="O124" s="338"/>
      <c r="P124" s="378"/>
      <c r="Q124" s="404">
        <v>1742</v>
      </c>
      <c r="R124" s="405">
        <v>1822</v>
      </c>
      <c r="S124" s="405">
        <v>1939</v>
      </c>
      <c r="T124" s="535">
        <f>S124*(1+[2]Sheet1!H47)</f>
        <v>1939</v>
      </c>
    </row>
    <row r="125" spans="2:24" ht="14.25">
      <c r="B125">
        <f>1673/I130</f>
        <v>0.1838889024885336</v>
      </c>
      <c r="C125">
        <f>B125*365</f>
        <v>67.119449408314765</v>
      </c>
      <c r="D125" s="343"/>
      <c r="E125">
        <f>1576/I130</f>
        <v>0.17322708327670588</v>
      </c>
      <c r="F125">
        <f>E125*365</f>
        <v>63.227885395997646</v>
      </c>
      <c r="I125" s="348"/>
      <c r="J125" s="349"/>
      <c r="K125" s="349"/>
      <c r="L125" s="349"/>
      <c r="M125" s="349"/>
      <c r="N125" s="350"/>
      <c r="O125" s="338"/>
      <c r="P125" s="378"/>
      <c r="Q125" s="404">
        <v>546</v>
      </c>
      <c r="R125" s="405">
        <f>0.11*R121</f>
        <v>568.59</v>
      </c>
      <c r="S125" s="405">
        <f>R125*(1+[2]Sheet1!G52)</f>
        <v>568.59</v>
      </c>
      <c r="T125" s="535">
        <f>S125*(1+[2]Sheet1!H52)</f>
        <v>568.59</v>
      </c>
    </row>
    <row r="126" spans="2:24" ht="14.25">
      <c r="D126" s="343"/>
      <c r="I126" s="348"/>
      <c r="J126" s="349"/>
      <c r="K126" s="349"/>
      <c r="L126" s="349"/>
      <c r="M126" s="349"/>
      <c r="N126" s="350"/>
      <c r="O126" s="338"/>
      <c r="P126" s="536"/>
      <c r="Q126" s="404">
        <v>213</v>
      </c>
      <c r="R126" s="405">
        <f>0.07*R121</f>
        <v>361.83000000000004</v>
      </c>
      <c r="S126" s="405">
        <f>R126*(1+[2]Sheet1!G53)</f>
        <v>361.83000000000004</v>
      </c>
      <c r="T126" s="535">
        <f>S126*(1+[2]Sheet1!H53)</f>
        <v>361.83000000000004</v>
      </c>
    </row>
    <row r="127" spans="2:24" ht="14.25">
      <c r="D127" s="343"/>
      <c r="I127" s="348"/>
      <c r="J127" s="349"/>
      <c r="K127" s="349"/>
      <c r="L127" s="349"/>
      <c r="M127" s="349"/>
      <c r="N127" s="350"/>
      <c r="O127" s="338"/>
      <c r="P127" s="378"/>
      <c r="Q127" s="410" t="e">
        <f>Q121/P121-1</f>
        <v>#DIV/0!</v>
      </c>
      <c r="R127" s="411">
        <f>R121/Q121-1</f>
        <v>8.3647798742138457E-2</v>
      </c>
      <c r="S127" s="411">
        <f>S121/R121-1</f>
        <v>6.9727219965177056E-2</v>
      </c>
      <c r="T127" s="410">
        <f>T121/S121-1</f>
        <v>0.10988132570866371</v>
      </c>
    </row>
    <row r="128" spans="2:24" ht="14.25">
      <c r="C128" s="537" t="s">
        <v>1163</v>
      </c>
      <c r="D128" s="538"/>
      <c r="E128" s="539" t="s">
        <v>1164</v>
      </c>
      <c r="F128" s="539" t="s">
        <v>1165</v>
      </c>
      <c r="G128" s="539" t="s">
        <v>1166</v>
      </c>
      <c r="H128" s="540" t="s">
        <v>1167</v>
      </c>
      <c r="I128" s="541" t="s">
        <v>1168</v>
      </c>
      <c r="J128" s="542" t="s">
        <v>1169</v>
      </c>
      <c r="K128" s="542" t="s">
        <v>1170</v>
      </c>
      <c r="L128" s="542" t="s">
        <v>1171</v>
      </c>
      <c r="M128" s="542" t="s">
        <v>1172</v>
      </c>
      <c r="N128" s="543" t="s">
        <v>1252</v>
      </c>
      <c r="O128" s="338"/>
      <c r="P128" s="544"/>
      <c r="Q128" s="410" t="e">
        <f t="shared" ref="Q128:T131" si="28">Q123/P123-1</f>
        <v>#DIV/0!</v>
      </c>
      <c r="R128" s="411">
        <f t="shared" si="28"/>
        <v>5.7293962097840545E-2</v>
      </c>
      <c r="S128" s="411">
        <f t="shared" si="28"/>
        <v>0.10879533138807829</v>
      </c>
      <c r="T128" s="410">
        <f t="shared" si="28"/>
        <v>0</v>
      </c>
    </row>
    <row r="129" spans="3:27" ht="14.25">
      <c r="C129" s="537"/>
      <c r="D129" s="538"/>
      <c r="E129" s="537"/>
      <c r="F129" s="537"/>
      <c r="G129" s="537"/>
      <c r="H129" s="545"/>
      <c r="I129" s="546"/>
      <c r="J129" s="547"/>
      <c r="K129" s="547"/>
      <c r="L129" s="547"/>
      <c r="M129" s="547"/>
      <c r="N129" s="548"/>
      <c r="O129" s="338"/>
      <c r="P129" s="378"/>
      <c r="Q129" s="410" t="e">
        <f t="shared" si="28"/>
        <v>#DIV/0!</v>
      </c>
      <c r="R129" s="411">
        <f t="shared" si="28"/>
        <v>4.5924225028702637E-2</v>
      </c>
      <c r="S129" s="411">
        <f t="shared" si="28"/>
        <v>6.4215148188803584E-2</v>
      </c>
      <c r="T129" s="410">
        <f t="shared" si="28"/>
        <v>0</v>
      </c>
    </row>
    <row r="130" spans="3:27" ht="14.25">
      <c r="C130" s="549" t="s">
        <v>1173</v>
      </c>
      <c r="D130" s="550"/>
      <c r="E130" s="551">
        <f t="shared" ref="E130:N130" si="29">E107+E77+E62+E47</f>
        <v>7722</v>
      </c>
      <c r="F130" s="551">
        <f t="shared" si="29"/>
        <v>7920</v>
      </c>
      <c r="G130" s="551">
        <f t="shared" si="29"/>
        <v>8632</v>
      </c>
      <c r="H130" s="551">
        <f t="shared" si="29"/>
        <v>8852</v>
      </c>
      <c r="I130" s="552">
        <f t="shared" si="29"/>
        <v>9097.8845235335502</v>
      </c>
      <c r="J130" s="553">
        <f>J107+J77+J62+J47</f>
        <v>9560.6605905914894</v>
      </c>
      <c r="K130" s="553">
        <f t="shared" si="29"/>
        <v>10059.223759002693</v>
      </c>
      <c r="L130" s="553">
        <f t="shared" si="29"/>
        <v>10597.290829904889</v>
      </c>
      <c r="M130" s="553">
        <f t="shared" si="29"/>
        <v>11174.827285726344</v>
      </c>
      <c r="N130" s="554">
        <f t="shared" si="29"/>
        <v>11796.849610840045</v>
      </c>
      <c r="O130" s="338"/>
      <c r="P130" s="378"/>
      <c r="Q130" s="410" t="e">
        <f t="shared" si="28"/>
        <v>#DIV/0!</v>
      </c>
      <c r="R130" s="411">
        <f t="shared" si="28"/>
        <v>4.1373626373626404E-2</v>
      </c>
      <c r="S130" s="411">
        <f t="shared" si="28"/>
        <v>0</v>
      </c>
      <c r="T130" s="410">
        <f t="shared" si="28"/>
        <v>0</v>
      </c>
    </row>
    <row r="131" spans="3:27" ht="14.25">
      <c r="C131" s="555" t="s">
        <v>1133</v>
      </c>
      <c r="D131" s="373"/>
      <c r="E131" s="556">
        <f>E110+E65+E50</f>
        <v>1.9999999999999997E-2</v>
      </c>
      <c r="F131" s="556">
        <f>F110+F65+F50</f>
        <v>0.04</v>
      </c>
      <c r="G131" s="556">
        <f>G110+G65+G50</f>
        <v>0.21000000000000002</v>
      </c>
      <c r="H131" s="556">
        <f>H110+H65+H50</f>
        <v>0.12000000000000001</v>
      </c>
      <c r="I131" s="557">
        <f>(I47*I50+I62*I65+I77*I80)/(I62+I77+I47)</f>
        <v>4.939871090697287E-2</v>
      </c>
      <c r="J131" s="557">
        <f t="shared" ref="J131:N131" si="30">(J47*J50+J62*J65+J77*J80)/(J62+J77+J47)</f>
        <v>5.1720235381187085E-2</v>
      </c>
      <c r="K131" s="557">
        <f>(K47*K50+K62*K65+K77*K80)/(K62+K77+K47)</f>
        <v>5.2982251930943532E-2</v>
      </c>
      <c r="L131" s="557">
        <f t="shared" si="30"/>
        <v>5.4470299098727089E-2</v>
      </c>
      <c r="M131" s="557">
        <f t="shared" si="30"/>
        <v>5.5520769635181259E-2</v>
      </c>
      <c r="N131" s="557">
        <f t="shared" si="30"/>
        <v>5.6646131703825327E-2</v>
      </c>
      <c r="O131" s="338"/>
      <c r="P131" s="378"/>
      <c r="Q131" s="410" t="e">
        <f t="shared" si="28"/>
        <v>#DIV/0!</v>
      </c>
      <c r="R131" s="411">
        <f t="shared" si="28"/>
        <v>0.69873239436619738</v>
      </c>
      <c r="S131" s="411">
        <f t="shared" si="28"/>
        <v>0</v>
      </c>
      <c r="T131" s="410">
        <f t="shared" si="28"/>
        <v>0</v>
      </c>
    </row>
    <row r="132" spans="3:27" ht="14.25">
      <c r="C132" s="555" t="s">
        <v>1134</v>
      </c>
      <c r="D132" s="373"/>
      <c r="E132" s="556">
        <f t="shared" ref="E132:H133" si="31">E111+E81+E66+E51</f>
        <v>7.0000000000000007E-2</v>
      </c>
      <c r="F132" s="556">
        <f t="shared" si="31"/>
        <v>0.02</v>
      </c>
      <c r="G132" s="556">
        <f t="shared" si="31"/>
        <v>0.01</v>
      </c>
      <c r="H132" s="556">
        <f t="shared" si="31"/>
        <v>-0.04</v>
      </c>
      <c r="I132" s="557">
        <f>(I47*I51+I62*I66+I77*I81)/(I62+I77+I47)</f>
        <v>7.640402890430103E-3</v>
      </c>
      <c r="J132" s="557">
        <f t="shared" ref="J132:N132" si="32">(J47*J51+J62*J66+J77*J81)/(J62+J77+J47)</f>
        <v>0</v>
      </c>
      <c r="K132" s="557">
        <f t="shared" si="32"/>
        <v>0</v>
      </c>
      <c r="L132" s="557">
        <f t="shared" si="32"/>
        <v>0</v>
      </c>
      <c r="M132" s="557">
        <f t="shared" si="32"/>
        <v>0</v>
      </c>
      <c r="N132" s="557">
        <f t="shared" si="32"/>
        <v>0</v>
      </c>
      <c r="O132" s="338"/>
      <c r="P132" s="378"/>
      <c r="Q132" s="520">
        <f>[2]Sheet1!E38+[2]Sheet1!E39+[2]Sheet1!E40+[2]Sheet1!E41</f>
        <v>0</v>
      </c>
      <c r="R132" s="521">
        <f>[2]Sheet1!F38+[2]Sheet1!F39+[2]Sheet1!F40+[2]Sheet1!F41</f>
        <v>0</v>
      </c>
      <c r="S132" s="521">
        <f>[2]Sheet1!G38+[2]Sheet1!G39+[2]Sheet1!G40+[2]Sheet1!G41</f>
        <v>0</v>
      </c>
      <c r="T132" s="520">
        <f>[2]Sheet1!H38+[2]Sheet1!H39+[2]Sheet1!H40+[2]Sheet1!H41</f>
        <v>0</v>
      </c>
    </row>
    <row r="133" spans="3:27" ht="14.25">
      <c r="C133" s="555" t="s">
        <v>1135</v>
      </c>
      <c r="D133" s="373"/>
      <c r="E133" s="556">
        <f t="shared" si="31"/>
        <v>12.08</v>
      </c>
      <c r="F133" s="556">
        <f t="shared" si="31"/>
        <v>-0.02</v>
      </c>
      <c r="G133" s="556">
        <f t="shared" si="31"/>
        <v>-0.02</v>
      </c>
      <c r="H133" s="556">
        <f t="shared" si="31"/>
        <v>-0.05</v>
      </c>
      <c r="I133" s="557">
        <v>0</v>
      </c>
      <c r="J133" s="558">
        <v>0</v>
      </c>
      <c r="K133" s="558">
        <v>0</v>
      </c>
      <c r="L133" s="558">
        <v>0</v>
      </c>
      <c r="M133" s="558">
        <v>0</v>
      </c>
      <c r="N133" s="559">
        <v>0</v>
      </c>
      <c r="O133" s="338"/>
    </row>
    <row r="134" spans="3:27" ht="14.25">
      <c r="C134" s="560" t="s">
        <v>1136</v>
      </c>
      <c r="D134" s="550"/>
      <c r="E134" s="561">
        <f>SUM(E131:E133)</f>
        <v>12.17</v>
      </c>
      <c r="F134" s="561">
        <f>SUM(F131:F133)</f>
        <v>3.9999999999999994E-2</v>
      </c>
      <c r="G134" s="561">
        <f>SUM(G131:G133)</f>
        <v>0.20000000000000004</v>
      </c>
      <c r="H134" s="561">
        <f>SUM(H131:H133)</f>
        <v>3.0000000000000013E-2</v>
      </c>
      <c r="I134" s="562">
        <f>I130/H130-1</f>
        <v>2.7777284628733634E-2</v>
      </c>
      <c r="J134" s="563">
        <f>J130/I130-1</f>
        <v>5.0866337758066038E-2</v>
      </c>
      <c r="K134" s="563">
        <f t="shared" ref="K134:N134" si="33">K130/J130-1</f>
        <v>5.2147355686052999E-2</v>
      </c>
      <c r="L134" s="563">
        <f>L130/K130-1</f>
        <v>5.3489919679005293E-2</v>
      </c>
      <c r="M134" s="563">
        <f t="shared" si="33"/>
        <v>5.4498500144176898E-2</v>
      </c>
      <c r="N134" s="564">
        <f t="shared" si="33"/>
        <v>5.5662813322243654E-2</v>
      </c>
      <c r="O134" s="338"/>
    </row>
    <row r="135" spans="3:27" ht="14.25">
      <c r="C135" s="565" t="s">
        <v>1174</v>
      </c>
      <c r="D135" s="550"/>
      <c r="E135" s="566"/>
      <c r="F135" s="566"/>
      <c r="G135" s="566"/>
      <c r="H135" s="566"/>
      <c r="I135" s="567"/>
      <c r="J135" s="568"/>
      <c r="K135" s="568"/>
      <c r="L135" s="568"/>
      <c r="M135" s="568"/>
      <c r="N135" s="569"/>
      <c r="O135" s="338"/>
    </row>
    <row r="136" spans="3:27" ht="14.25">
      <c r="C136" s="570"/>
      <c r="D136" s="550"/>
      <c r="E136" s="571"/>
      <c r="F136" s="571"/>
      <c r="G136" s="571"/>
      <c r="H136" s="571"/>
      <c r="I136" s="572"/>
      <c r="J136" s="571"/>
      <c r="K136" s="571"/>
      <c r="L136" s="571"/>
      <c r="M136" s="571"/>
      <c r="N136" s="571"/>
      <c r="O136" s="338"/>
      <c r="W136" t="str">
        <f>E128</f>
        <v>FY15</v>
      </c>
      <c r="X136" t="str">
        <f t="shared" ref="X136:AA136" si="34">F128</f>
        <v>FY16</v>
      </c>
      <c r="Y136" t="str">
        <f t="shared" si="34"/>
        <v>FY17</v>
      </c>
      <c r="Z136" t="str">
        <f t="shared" si="34"/>
        <v>FY18</v>
      </c>
      <c r="AA136" t="str">
        <f t="shared" si="34"/>
        <v>FY19E</v>
      </c>
    </row>
    <row r="137" spans="3:27" ht="14.25">
      <c r="C137" s="570" t="s">
        <v>1175</v>
      </c>
      <c r="D137" s="550"/>
      <c r="E137" s="573">
        <v>5413</v>
      </c>
      <c r="F137" s="573">
        <v>5262</v>
      </c>
      <c r="G137" s="573">
        <v>5699</v>
      </c>
      <c r="H137" s="573">
        <v>5862</v>
      </c>
      <c r="I137" s="574">
        <f>H137*P143</f>
        <v>6029.6620459729775</v>
      </c>
      <c r="J137" s="575">
        <f>J130-J138</f>
        <v>6864.5543040446901</v>
      </c>
      <c r="K137" s="575">
        <f>K130-K138</f>
        <v>7202.404211445928</v>
      </c>
      <c r="L137" s="575">
        <f>L130-L138</f>
        <v>7566.4656525520913</v>
      </c>
      <c r="M137" s="575">
        <f>M130-M138</f>
        <v>7956.4770274371567</v>
      </c>
      <c r="N137" s="575">
        <f>N130-N138</f>
        <v>8399.3569229181121</v>
      </c>
      <c r="O137" s="338"/>
      <c r="V137" t="str">
        <f>C131</f>
        <v>Organic</v>
      </c>
      <c r="W137" s="576">
        <f>E131</f>
        <v>1.9999999999999997E-2</v>
      </c>
      <c r="X137" s="576">
        <f t="shared" ref="X137:AA137" si="35">F131</f>
        <v>0.04</v>
      </c>
      <c r="Y137" s="576">
        <f t="shared" si="35"/>
        <v>0.21000000000000002</v>
      </c>
      <c r="Z137" s="576">
        <f t="shared" si="35"/>
        <v>0.12000000000000001</v>
      </c>
      <c r="AA137" s="576">
        <f t="shared" si="35"/>
        <v>4.939871090697287E-2</v>
      </c>
    </row>
    <row r="138" spans="3:27" ht="14.25">
      <c r="C138" s="577" t="s">
        <v>1138</v>
      </c>
      <c r="D138" s="550"/>
      <c r="E138" s="578">
        <f>E130-E137</f>
        <v>2309</v>
      </c>
      <c r="F138" s="578">
        <f>F130-F137</f>
        <v>2658</v>
      </c>
      <c r="G138" s="578">
        <v>2933</v>
      </c>
      <c r="H138" s="578">
        <f>H130-H137</f>
        <v>2990</v>
      </c>
      <c r="I138" s="579">
        <f>I139*I130</f>
        <v>2547.4076665893945</v>
      </c>
      <c r="J138" s="579">
        <f t="shared" ref="J138:N138" si="36">J139*J130</f>
        <v>2696.1062865467998</v>
      </c>
      <c r="K138" s="579">
        <f t="shared" si="36"/>
        <v>2856.8195475567645</v>
      </c>
      <c r="L138" s="579">
        <f t="shared" si="36"/>
        <v>3030.8251773527977</v>
      </c>
      <c r="M138" s="579">
        <f t="shared" si="36"/>
        <v>3218.3502582891865</v>
      </c>
      <c r="N138" s="580">
        <f t="shared" si="36"/>
        <v>3397.4926879219329</v>
      </c>
      <c r="O138" s="338"/>
      <c r="P138" s="581">
        <v>2332</v>
      </c>
      <c r="Q138" s="581">
        <v>2658</v>
      </c>
      <c r="R138" s="581">
        <v>2933</v>
      </c>
      <c r="S138" s="581">
        <v>3405</v>
      </c>
      <c r="V138" t="str">
        <f>C158</f>
        <v>Adj EBIT margin</v>
      </c>
      <c r="W138" s="582">
        <f>E158</f>
        <v>7.4203574203574207E-2</v>
      </c>
      <c r="X138" s="582">
        <f t="shared" ref="X138:AA138" si="37">F158</f>
        <v>9.9873737373737378E-2</v>
      </c>
      <c r="Y138" s="582">
        <f t="shared" si="37"/>
        <v>0.11086654309545876</v>
      </c>
      <c r="Z138" s="582">
        <f t="shared" si="37"/>
        <v>0.11918210573881609</v>
      </c>
      <c r="AA138" s="582">
        <f t="shared" si="37"/>
        <v>0.12922883129371851</v>
      </c>
    </row>
    <row r="139" spans="3:27" ht="14.25">
      <c r="C139" s="570" t="s">
        <v>1176</v>
      </c>
      <c r="D139" s="550"/>
      <c r="E139" s="583">
        <f>E138/E130</f>
        <v>0.299015799015799</v>
      </c>
      <c r="F139" s="583">
        <f>F138/F130</f>
        <v>0.33560606060606063</v>
      </c>
      <c r="G139" s="583">
        <f>G138/G130</f>
        <v>0.33978220574606116</v>
      </c>
      <c r="H139" s="583">
        <f>H138/H130</f>
        <v>0.33777677361048353</v>
      </c>
      <c r="I139" s="584">
        <v>0.28000000000000003</v>
      </c>
      <c r="J139" s="585">
        <v>0.28199999999999997</v>
      </c>
      <c r="K139" s="585">
        <v>0.28399999999999997</v>
      </c>
      <c r="L139" s="585">
        <v>0.28599999999999998</v>
      </c>
      <c r="M139" s="585">
        <v>0.28799999999999998</v>
      </c>
      <c r="N139" s="586">
        <f>M139</f>
        <v>0.28799999999999998</v>
      </c>
      <c r="O139" s="338"/>
    </row>
    <row r="140" spans="3:27" ht="14.25">
      <c r="C140" s="570"/>
      <c r="D140" s="550"/>
      <c r="E140" s="583"/>
      <c r="F140" s="583"/>
      <c r="G140" s="583"/>
      <c r="H140" s="587"/>
      <c r="I140" s="588"/>
      <c r="J140" s="589"/>
      <c r="K140" s="585"/>
      <c r="L140" s="585"/>
      <c r="M140" s="585"/>
      <c r="N140" s="586"/>
      <c r="O140" s="338"/>
      <c r="P140" s="576">
        <f>G137/F137</f>
        <v>1.0830482706195363</v>
      </c>
      <c r="Q140">
        <f>G137/F137</f>
        <v>1.0830482706195363</v>
      </c>
      <c r="R140">
        <f>H137/G137</f>
        <v>1.0286015090366731</v>
      </c>
    </row>
    <row r="141" spans="3:27" ht="14.25">
      <c r="C141" s="570" t="s">
        <v>1177</v>
      </c>
      <c r="D141" s="550"/>
      <c r="E141" s="590">
        <v>1060</v>
      </c>
      <c r="F141" s="590">
        <v>1132</v>
      </c>
      <c r="G141" s="590">
        <v>1221</v>
      </c>
      <c r="H141" s="590">
        <v>1303</v>
      </c>
      <c r="I141" s="591">
        <f t="shared" ref="I141:N141" si="38">H130*H142</f>
        <v>-1303</v>
      </c>
      <c r="J141" s="591">
        <f t="shared" si="38"/>
        <v>1364.6826785300325</v>
      </c>
      <c r="K141" s="591">
        <f t="shared" si="38"/>
        <v>1453.2204097699064</v>
      </c>
      <c r="L141" s="591">
        <f t="shared" si="38"/>
        <v>1549.1204588864146</v>
      </c>
      <c r="M141" s="591">
        <f t="shared" si="38"/>
        <v>1653.1773694651627</v>
      </c>
      <c r="N141" s="591">
        <f t="shared" si="38"/>
        <v>1765.6227111447624</v>
      </c>
      <c r="O141" s="338"/>
    </row>
    <row r="142" spans="3:27" ht="14.25">
      <c r="C142" s="592" t="s">
        <v>1178</v>
      </c>
      <c r="D142" s="550"/>
      <c r="E142" s="583">
        <f>-E141/E130</f>
        <v>-0.13727013727013726</v>
      </c>
      <c r="F142" s="583">
        <f>-F141/F130</f>
        <v>-0.14292929292929293</v>
      </c>
      <c r="G142" s="583">
        <f>-G141/G130</f>
        <v>-0.14145041705282668</v>
      </c>
      <c r="H142" s="583">
        <f>-H141/H130</f>
        <v>-0.14719837324898327</v>
      </c>
      <c r="I142" s="593">
        <v>0.15</v>
      </c>
      <c r="J142" s="585">
        <v>0.152</v>
      </c>
      <c r="K142" s="585">
        <v>0.154</v>
      </c>
      <c r="L142" s="585">
        <v>0.156</v>
      </c>
      <c r="M142" s="585">
        <v>0.158</v>
      </c>
      <c r="N142" s="585">
        <v>0.16</v>
      </c>
      <c r="O142" s="338"/>
    </row>
    <row r="143" spans="3:27" ht="14.25">
      <c r="C143" s="570"/>
      <c r="D143" s="550"/>
      <c r="E143" s="583"/>
      <c r="F143" s="583"/>
      <c r="G143" s="583"/>
      <c r="H143" s="587"/>
      <c r="I143" s="593"/>
      <c r="J143" s="585"/>
      <c r="K143" s="585"/>
      <c r="L143" s="585"/>
      <c r="M143" s="585"/>
      <c r="N143" s="586"/>
      <c r="O143" s="338"/>
      <c r="P143">
        <f>5862/G137</f>
        <v>1.0286015090366731</v>
      </c>
    </row>
    <row r="144" spans="3:27" ht="14.25">
      <c r="C144" s="570" t="s">
        <v>1179</v>
      </c>
      <c r="D144" s="550"/>
      <c r="E144" s="594">
        <f>E141+534</f>
        <v>1594</v>
      </c>
      <c r="F144" s="594">
        <f>F141+552</f>
        <v>1684</v>
      </c>
      <c r="G144" s="594">
        <v>1745</v>
      </c>
      <c r="H144" s="595">
        <v>1833</v>
      </c>
      <c r="I144" s="596">
        <f>I147-I138</f>
        <v>-2547.4076665893945</v>
      </c>
      <c r="J144" s="575">
        <f t="shared" ref="J144:N144" si="39">J147-J138</f>
        <v>-2696.1062865467998</v>
      </c>
      <c r="K144" s="575">
        <f>K147-K138</f>
        <v>-2856.8195475567645</v>
      </c>
      <c r="L144" s="575">
        <f t="shared" si="39"/>
        <v>-3030.8251773527977</v>
      </c>
      <c r="M144" s="575">
        <f t="shared" si="39"/>
        <v>-3218.3502582891865</v>
      </c>
      <c r="N144" s="597">
        <f t="shared" si="39"/>
        <v>-3397.4926879219329</v>
      </c>
      <c r="O144" s="338"/>
    </row>
    <row r="145" spans="3:16" ht="14.25">
      <c r="C145" s="592" t="s">
        <v>1178</v>
      </c>
      <c r="D145" s="550"/>
      <c r="E145" s="598">
        <f>E144/E130</f>
        <v>0.20642320642320641</v>
      </c>
      <c r="F145" s="598">
        <f>-F144/F130</f>
        <v>-0.21262626262626264</v>
      </c>
      <c r="G145" s="598">
        <f>-G144/G130</f>
        <v>-0.20215477293790546</v>
      </c>
      <c r="H145" s="598">
        <f>-H144/H130</f>
        <v>-0.20707184816990509</v>
      </c>
      <c r="I145" s="599">
        <f t="shared" ref="I145:N145" si="40">-I144/I130</f>
        <v>0.28000000000000003</v>
      </c>
      <c r="J145" s="600">
        <f>-J144/J130</f>
        <v>0.28199999999999997</v>
      </c>
      <c r="K145" s="600">
        <f t="shared" si="40"/>
        <v>0.28399999999999997</v>
      </c>
      <c r="L145" s="600">
        <f t="shared" si="40"/>
        <v>0.28599999999999998</v>
      </c>
      <c r="M145" s="600">
        <f t="shared" si="40"/>
        <v>0.28799999999999998</v>
      </c>
      <c r="N145" s="601">
        <f t="shared" si="40"/>
        <v>0.28799999999999998</v>
      </c>
      <c r="O145" s="338"/>
    </row>
    <row r="146" spans="3:16" ht="14.25">
      <c r="C146" s="570"/>
      <c r="D146" s="550"/>
      <c r="E146" s="537"/>
      <c r="F146" s="537"/>
      <c r="G146" s="602"/>
      <c r="H146" s="602"/>
      <c r="I146" s="603"/>
      <c r="J146" s="604"/>
      <c r="K146" s="604"/>
      <c r="L146" s="604"/>
      <c r="M146" s="604"/>
      <c r="N146" s="605"/>
      <c r="O146" s="338"/>
    </row>
    <row r="147" spans="3:16" ht="14.25">
      <c r="C147" s="577"/>
      <c r="D147" s="550"/>
      <c r="E147" s="578"/>
      <c r="F147" s="578"/>
      <c r="G147" s="578"/>
      <c r="H147" s="578"/>
      <c r="I147" s="606"/>
      <c r="J147" s="579"/>
      <c r="K147" s="579"/>
      <c r="L147" s="579"/>
      <c r="M147" s="579"/>
      <c r="N147" s="580"/>
      <c r="O147" s="338"/>
    </row>
    <row r="148" spans="3:16" ht="14.25">
      <c r="C148" s="592"/>
      <c r="D148" s="550"/>
      <c r="E148" s="607"/>
      <c r="F148" s="578"/>
      <c r="G148" s="578"/>
      <c r="H148" s="578"/>
      <c r="I148" s="606"/>
      <c r="J148" s="608"/>
      <c r="K148" s="608"/>
      <c r="L148" s="608"/>
      <c r="M148" s="608"/>
      <c r="N148" s="609"/>
      <c r="O148" s="338"/>
    </row>
    <row r="149" spans="3:16" ht="15" thickBot="1">
      <c r="C149" s="570"/>
      <c r="D149" s="550"/>
      <c r="E149" s="573"/>
      <c r="F149" s="573"/>
      <c r="G149" s="578"/>
      <c r="H149" s="578"/>
      <c r="I149" s="606"/>
      <c r="J149" s="575"/>
      <c r="K149" s="575"/>
      <c r="L149" s="575"/>
      <c r="M149" s="575"/>
      <c r="N149" s="597"/>
      <c r="O149" s="338"/>
    </row>
    <row r="150" spans="3:16" ht="16.5" thickTop="1" thickBot="1">
      <c r="C150" s="592"/>
      <c r="D150" s="550"/>
      <c r="E150" s="610">
        <v>1075</v>
      </c>
      <c r="F150" s="610">
        <v>1262</v>
      </c>
      <c r="G150" s="610">
        <v>1445</v>
      </c>
      <c r="H150" s="611">
        <v>1532</v>
      </c>
      <c r="I150" s="606"/>
      <c r="J150" s="612"/>
      <c r="K150" s="612"/>
      <c r="L150" s="612"/>
      <c r="M150" s="612"/>
      <c r="N150" s="613"/>
      <c r="O150" s="338"/>
    </row>
    <row r="151" spans="3:16" ht="15" thickTop="1">
      <c r="C151" s="549" t="s">
        <v>1180</v>
      </c>
      <c r="D151" s="550"/>
      <c r="E151" s="551">
        <f t="shared" ref="E151:N151" si="41">E56+E71+E90+E116</f>
        <v>1075</v>
      </c>
      <c r="F151" s="551">
        <f t="shared" si="41"/>
        <v>1262</v>
      </c>
      <c r="G151" s="551">
        <f t="shared" si="41"/>
        <v>1445</v>
      </c>
      <c r="H151" s="551">
        <f t="shared" si="41"/>
        <v>1532</v>
      </c>
      <c r="I151" s="551">
        <f t="shared" si="41"/>
        <v>1697.25</v>
      </c>
      <c r="J151" s="551">
        <f t="shared" si="41"/>
        <v>1785.0218246148042</v>
      </c>
      <c r="K151" s="551">
        <f>K56+K71+K90+K116</f>
        <v>1914.1259276265762</v>
      </c>
      <c r="L151" s="551">
        <f t="shared" si="41"/>
        <v>2051.7712040413608</v>
      </c>
      <c r="M151" s="551">
        <f t="shared" si="41"/>
        <v>2208.1278477596356</v>
      </c>
      <c r="N151" s="551">
        <f t="shared" si="41"/>
        <v>2380.1146451933942</v>
      </c>
      <c r="O151" s="338" t="s">
        <v>1181</v>
      </c>
    </row>
    <row r="152" spans="3:16" ht="14.25">
      <c r="C152" s="592"/>
      <c r="D152" s="550"/>
      <c r="E152" s="598">
        <f>E151/E130</f>
        <v>0.13921263921263921</v>
      </c>
      <c r="F152" s="598">
        <f>F151/F130</f>
        <v>0.15934343434343434</v>
      </c>
      <c r="G152" s="598">
        <f>G151/G130</f>
        <v>0.16740037071362374</v>
      </c>
      <c r="H152" s="598">
        <f>H151/H130</f>
        <v>0.17306823316764572</v>
      </c>
      <c r="I152" s="598">
        <f t="shared" ref="I152:N152" si="42">I151/I130</f>
        <v>0.18655435729149053</v>
      </c>
      <c r="J152" s="598">
        <f t="shared" si="42"/>
        <v>0.18670486288064853</v>
      </c>
      <c r="K152" s="598">
        <f>K151/K130</f>
        <v>0.19028564961719766</v>
      </c>
      <c r="L152" s="598">
        <f t="shared" si="42"/>
        <v>0.19361280510028009</v>
      </c>
      <c r="M152" s="598">
        <f t="shared" si="42"/>
        <v>0.1975983870981243</v>
      </c>
      <c r="N152" s="598">
        <f t="shared" si="42"/>
        <v>0.2017584968622744</v>
      </c>
      <c r="O152" s="338"/>
    </row>
    <row r="153" spans="3:16" ht="14.25">
      <c r="C153" s="570" t="s">
        <v>1182</v>
      </c>
      <c r="D153" s="550"/>
      <c r="E153" s="614">
        <f>(E151)/E130</f>
        <v>0.13921263921263921</v>
      </c>
      <c r="F153" s="614">
        <f>(F151+F223)/F130</f>
        <v>0.15934343434343434</v>
      </c>
      <c r="G153" s="614">
        <f>(G151)/G130</f>
        <v>0.16740037071362374</v>
      </c>
      <c r="H153" s="614">
        <f>(H151)/H130</f>
        <v>0.17306823316764572</v>
      </c>
      <c r="I153" s="614">
        <f t="shared" ref="I153:N153" si="43">(I151)/I130</f>
        <v>0.18655435729149053</v>
      </c>
      <c r="J153" s="614">
        <f t="shared" si="43"/>
        <v>0.18670486288064853</v>
      </c>
      <c r="K153" s="614">
        <f t="shared" si="43"/>
        <v>0.19028564961719766</v>
      </c>
      <c r="L153" s="614">
        <f t="shared" si="43"/>
        <v>0.19361280510028009</v>
      </c>
      <c r="M153" s="614">
        <f t="shared" si="43"/>
        <v>0.1975983870981243</v>
      </c>
      <c r="N153" s="614">
        <f t="shared" si="43"/>
        <v>0.2017584968622744</v>
      </c>
      <c r="O153" s="338"/>
    </row>
    <row r="154" spans="3:16" ht="14.25">
      <c r="C154" s="570"/>
      <c r="D154" s="550"/>
      <c r="E154" s="685"/>
      <c r="F154" s="685"/>
      <c r="G154" s="685"/>
      <c r="H154" s="685"/>
      <c r="I154" s="685"/>
      <c r="J154" s="685"/>
      <c r="K154" s="685"/>
      <c r="L154" s="685"/>
      <c r="M154" s="685"/>
      <c r="N154" s="685"/>
      <c r="O154" s="338"/>
      <c r="P154" t="s">
        <v>1183</v>
      </c>
    </row>
    <row r="155" spans="3:16" ht="15" thickBot="1">
      <c r="C155" s="570"/>
      <c r="D155" s="550"/>
      <c r="E155" s="614"/>
      <c r="F155" s="614"/>
      <c r="G155" s="614">
        <v>957</v>
      </c>
      <c r="H155" s="614">
        <v>10.050000000000001</v>
      </c>
      <c r="I155" s="615"/>
      <c r="J155" s="616"/>
      <c r="K155" s="616"/>
      <c r="L155" s="616"/>
      <c r="M155" s="616"/>
      <c r="N155" s="617"/>
      <c r="O155" s="338"/>
    </row>
    <row r="156" spans="3:16" ht="16.5" thickTop="1" thickBot="1">
      <c r="C156" s="592"/>
      <c r="D156" s="550"/>
      <c r="E156" s="618">
        <v>573</v>
      </c>
      <c r="F156" s="610">
        <v>791</v>
      </c>
      <c r="G156" s="610">
        <v>957</v>
      </c>
      <c r="H156" s="611">
        <v>1055</v>
      </c>
      <c r="I156" s="606"/>
      <c r="J156" s="612"/>
      <c r="K156" s="612"/>
      <c r="L156" s="612"/>
      <c r="M156" s="612"/>
      <c r="N156" s="613"/>
      <c r="O156" s="338"/>
    </row>
    <row r="157" spans="3:16" ht="15" thickTop="1">
      <c r="C157" s="549" t="s">
        <v>1184</v>
      </c>
      <c r="D157" s="550"/>
      <c r="E157" s="551">
        <f>E118+E92+E73+E58</f>
        <v>573</v>
      </c>
      <c r="F157" s="551">
        <f>F118+F92+F73+F58</f>
        <v>791</v>
      </c>
      <c r="G157" s="551">
        <f t="shared" ref="G157:M157" si="44">G58+G73+G92+G118</f>
        <v>957</v>
      </c>
      <c r="H157" s="551">
        <f t="shared" si="44"/>
        <v>1055</v>
      </c>
      <c r="I157" s="551">
        <f t="shared" si="44"/>
        <v>1175.7089842214498</v>
      </c>
      <c r="J157" s="551">
        <f>J58+J73+J92+J118</f>
        <v>1272.3431455105315</v>
      </c>
      <c r="K157" s="551">
        <f t="shared" si="44"/>
        <v>1373.390422522566</v>
      </c>
      <c r="L157" s="551">
        <f t="shared" si="44"/>
        <v>1480.0291458402755</v>
      </c>
      <c r="M157" s="551">
        <f t="shared" si="44"/>
        <v>1602.5804832569947</v>
      </c>
      <c r="N157" s="551">
        <f>N58+N73+N92+N118</f>
        <v>1737.5983192413903</v>
      </c>
      <c r="O157" s="338"/>
    </row>
    <row r="158" spans="3:16" ht="14.25">
      <c r="C158" s="592" t="s">
        <v>1144</v>
      </c>
      <c r="D158" s="550"/>
      <c r="E158" s="598">
        <f>E157/E130</f>
        <v>7.4203574203574207E-2</v>
      </c>
      <c r="F158" s="598">
        <f>F157/F130</f>
        <v>9.9873737373737378E-2</v>
      </c>
      <c r="G158" s="598">
        <f>G157/G130</f>
        <v>0.11086654309545876</v>
      </c>
      <c r="H158" s="598">
        <f>H157/H130</f>
        <v>0.11918210573881609</v>
      </c>
      <c r="I158" s="598">
        <f>I157/I130</f>
        <v>0.12922883129371851</v>
      </c>
      <c r="J158" s="598">
        <f t="shared" ref="J158:N158" si="45">J157/J130</f>
        <v>0.13308109135917098</v>
      </c>
      <c r="K158" s="598">
        <f t="shared" si="45"/>
        <v>0.13653045756074611</v>
      </c>
      <c r="L158" s="598">
        <f t="shared" si="45"/>
        <v>0.13966108598847984</v>
      </c>
      <c r="M158" s="598">
        <f t="shared" si="45"/>
        <v>0.14340986596759109</v>
      </c>
      <c r="N158" s="598">
        <f t="shared" si="45"/>
        <v>0.14729341956217895</v>
      </c>
      <c r="O158" s="338"/>
    </row>
    <row r="159" spans="3:16" ht="14.25">
      <c r="C159" s="570"/>
      <c r="D159" s="550"/>
      <c r="E159" s="614">
        <v>0.1</v>
      </c>
      <c r="F159" s="614">
        <v>2.3E-2</v>
      </c>
      <c r="G159" s="614">
        <v>6.6000000000000003E-2</v>
      </c>
      <c r="H159" s="614">
        <v>8.2000000000000003E-2</v>
      </c>
      <c r="I159" s="615"/>
      <c r="J159" s="616"/>
      <c r="K159" s="616"/>
      <c r="L159" s="616"/>
      <c r="M159" s="616"/>
      <c r="N159" s="617"/>
      <c r="O159" s="338"/>
    </row>
    <row r="160" spans="3:16" ht="14.25">
      <c r="C160" s="570"/>
      <c r="D160" s="550"/>
      <c r="F160" s="614"/>
      <c r="I160" s="615"/>
      <c r="J160" s="616"/>
      <c r="K160" s="616"/>
      <c r="L160" s="616"/>
      <c r="M160" s="616"/>
      <c r="N160" s="617"/>
      <c r="O160" s="338"/>
    </row>
    <row r="161" spans="3:27" ht="14.25">
      <c r="C161" s="570" t="s">
        <v>1185</v>
      </c>
      <c r="D161" s="550"/>
      <c r="E161" s="619">
        <v>-149</v>
      </c>
      <c r="F161" s="619">
        <f>-156+23</f>
        <v>-133</v>
      </c>
      <c r="G161" s="620">
        <f>35-139</f>
        <v>-104</v>
      </c>
      <c r="H161" s="619">
        <v>-101</v>
      </c>
      <c r="I161" s="621">
        <v>-118</v>
      </c>
      <c r="J161" s="622">
        <v>-116</v>
      </c>
      <c r="K161" s="622">
        <v>-120</v>
      </c>
      <c r="L161" s="622">
        <v>-121</v>
      </c>
      <c r="M161" s="622">
        <v>-120</v>
      </c>
      <c r="N161" s="623">
        <v>-118</v>
      </c>
      <c r="O161" s="338"/>
    </row>
    <row r="162" spans="3:27" ht="14.25">
      <c r="C162" s="624" t="s">
        <v>1186</v>
      </c>
      <c r="D162" s="550"/>
      <c r="E162" s="625">
        <f>E161+E157</f>
        <v>424</v>
      </c>
      <c r="F162" s="625">
        <f>F161+F157</f>
        <v>658</v>
      </c>
      <c r="G162" s="625">
        <f>G161+G157</f>
        <v>853</v>
      </c>
      <c r="H162" s="625">
        <f>H161+H157</f>
        <v>954</v>
      </c>
      <c r="I162" s="626">
        <f t="shared" ref="I162:N162" si="46">I157+I161</f>
        <v>1057.7089842214498</v>
      </c>
      <c r="J162" s="626">
        <f t="shared" si="46"/>
        <v>1156.3431455105315</v>
      </c>
      <c r="K162" s="626">
        <f t="shared" si="46"/>
        <v>1253.390422522566</v>
      </c>
      <c r="L162" s="626">
        <f t="shared" si="46"/>
        <v>1359.0291458402755</v>
      </c>
      <c r="M162" s="626">
        <f t="shared" si="46"/>
        <v>1482.5804832569947</v>
      </c>
      <c r="N162" s="626">
        <f t="shared" si="46"/>
        <v>1619.5983192413903</v>
      </c>
      <c r="O162" s="338"/>
      <c r="Q162" t="s">
        <v>1187</v>
      </c>
      <c r="R162">
        <v>424</v>
      </c>
    </row>
    <row r="163" spans="3:27" ht="14.25">
      <c r="D163" s="343"/>
      <c r="E163" s="627">
        <v>-0.46</v>
      </c>
      <c r="F163" s="627">
        <v>-0.89</v>
      </c>
      <c r="G163" s="627"/>
      <c r="H163" s="627">
        <v>-1.94</v>
      </c>
      <c r="I163" s="348"/>
      <c r="J163" s="349"/>
      <c r="K163" s="349"/>
      <c r="L163" s="349"/>
      <c r="M163" s="349"/>
      <c r="N163" s="350"/>
      <c r="O163" s="338"/>
      <c r="R163">
        <v>-97</v>
      </c>
    </row>
    <row r="164" spans="3:27" ht="14.25">
      <c r="C164" s="570" t="s">
        <v>1188</v>
      </c>
      <c r="D164" s="550"/>
      <c r="E164" s="573">
        <f>-97</f>
        <v>-97</v>
      </c>
      <c r="F164" s="573">
        <v>-120</v>
      </c>
      <c r="G164" s="573">
        <v>-143</v>
      </c>
      <c r="H164" s="573">
        <v>-194</v>
      </c>
      <c r="I164" s="574">
        <f t="shared" ref="I164:N164" si="47">-(I162*I165)</f>
        <v>-214.71492379695431</v>
      </c>
      <c r="J164" s="574">
        <f t="shared" si="47"/>
        <v>-234.7376585386379</v>
      </c>
      <c r="K164" s="574">
        <f t="shared" si="47"/>
        <v>-254.43825577208094</v>
      </c>
      <c r="L164" s="574">
        <f t="shared" si="47"/>
        <v>-275.88291660557593</v>
      </c>
      <c r="M164" s="574">
        <f t="shared" si="47"/>
        <v>-300.96383810116993</v>
      </c>
      <c r="N164" s="574">
        <f t="shared" si="47"/>
        <v>-328.77845880600228</v>
      </c>
      <c r="O164" s="338"/>
    </row>
    <row r="165" spans="3:27" ht="14.25">
      <c r="C165" s="592" t="s">
        <v>1189</v>
      </c>
      <c r="D165" s="550"/>
      <c r="E165" s="598">
        <f>-E164/E162</f>
        <v>0.22877358490566038</v>
      </c>
      <c r="F165" s="598">
        <f>-F164/F162</f>
        <v>0.18237082066869301</v>
      </c>
      <c r="G165" s="628">
        <f>-G164/G162</f>
        <v>0.16764361078546308</v>
      </c>
      <c r="H165" s="598">
        <f>-H164/H162</f>
        <v>0.20335429769392033</v>
      </c>
      <c r="I165" s="629">
        <v>0.20300000000000001</v>
      </c>
      <c r="J165" s="629">
        <v>0.20300000000000001</v>
      </c>
      <c r="K165" s="629">
        <v>0.20300000000000001</v>
      </c>
      <c r="L165" s="629">
        <v>0.20300000000000001</v>
      </c>
      <c r="M165" s="629">
        <v>0.20300000000000001</v>
      </c>
      <c r="N165" s="629">
        <v>0.20300000000000001</v>
      </c>
      <c r="O165" s="338"/>
    </row>
    <row r="166" spans="3:27" ht="14.25">
      <c r="C166" s="592" t="s">
        <v>1190</v>
      </c>
      <c r="D166" s="550"/>
      <c r="E166" s="630">
        <f>30+22+2</f>
        <v>54</v>
      </c>
      <c r="F166" s="630">
        <f>194-223+11</f>
        <v>-18</v>
      </c>
      <c r="G166" s="630">
        <f>1154-1156-2</f>
        <v>-4</v>
      </c>
      <c r="H166" s="630">
        <f>129-122</f>
        <v>7</v>
      </c>
      <c r="I166" s="648">
        <v>-2</v>
      </c>
      <c r="J166" s="649">
        <v>-2</v>
      </c>
      <c r="K166" s="649">
        <v>-2</v>
      </c>
      <c r="L166" s="649">
        <v>-2</v>
      </c>
      <c r="M166" s="649">
        <v>-2</v>
      </c>
      <c r="N166" s="649">
        <v>-2</v>
      </c>
      <c r="O166" s="338" t="s">
        <v>1191</v>
      </c>
    </row>
    <row r="167" spans="3:27" ht="14.25">
      <c r="C167" s="624" t="s">
        <v>1192</v>
      </c>
      <c r="D167" s="550"/>
      <c r="E167" s="625">
        <f>E162+E164+E166</f>
        <v>381</v>
      </c>
      <c r="F167" s="625">
        <f>F162+F164+F166</f>
        <v>520</v>
      </c>
      <c r="G167" s="625">
        <f>G162+G164+G166</f>
        <v>706</v>
      </c>
      <c r="H167" s="625">
        <f>H162+H164+H166</f>
        <v>767</v>
      </c>
      <c r="I167" s="626">
        <f t="shared" ref="I167:N167" si="48">I162+I164</f>
        <v>842.9940604244955</v>
      </c>
      <c r="J167" s="631">
        <f t="shared" si="48"/>
        <v>921.60548697189358</v>
      </c>
      <c r="K167" s="631">
        <f t="shared" si="48"/>
        <v>998.95216675048505</v>
      </c>
      <c r="L167" s="631">
        <f t="shared" si="48"/>
        <v>1083.1462292346996</v>
      </c>
      <c r="M167" s="631">
        <f t="shared" si="48"/>
        <v>1181.6166451558247</v>
      </c>
      <c r="N167" s="631">
        <f t="shared" si="48"/>
        <v>1290.8198604353879</v>
      </c>
      <c r="O167" s="338"/>
    </row>
    <row r="168" spans="3:27" ht="14.25">
      <c r="C168" s="570"/>
      <c r="D168" s="550"/>
      <c r="E168" s="614"/>
      <c r="F168" s="614"/>
      <c r="G168" s="614"/>
      <c r="H168" s="614"/>
      <c r="I168" s="615"/>
      <c r="J168" s="616"/>
      <c r="K168" s="616"/>
      <c r="L168" s="616"/>
      <c r="M168" s="616"/>
      <c r="N168" s="617"/>
      <c r="O168" s="338"/>
    </row>
    <row r="169" spans="3:27" ht="14.25">
      <c r="C169" s="570" t="s">
        <v>1193</v>
      </c>
      <c r="D169" s="550"/>
      <c r="E169" s="627">
        <v>2</v>
      </c>
      <c r="F169" s="627">
        <v>-8</v>
      </c>
      <c r="G169" s="627">
        <v>-12</v>
      </c>
      <c r="H169" s="627">
        <v>-2</v>
      </c>
      <c r="I169" s="645">
        <v>-4</v>
      </c>
      <c r="J169" s="646">
        <v>-4</v>
      </c>
      <c r="K169" s="646">
        <v>-4</v>
      </c>
      <c r="L169" s="646">
        <v>-4</v>
      </c>
      <c r="M169" s="646">
        <v>-4</v>
      </c>
      <c r="N169" s="647">
        <v>-4</v>
      </c>
      <c r="O169" s="338"/>
    </row>
    <row r="170" spans="3:27" ht="14.25">
      <c r="C170" s="570" t="s">
        <v>1194</v>
      </c>
      <c r="D170" s="550"/>
      <c r="E170" s="627">
        <v>-9</v>
      </c>
      <c r="F170" s="627">
        <v>-3</v>
      </c>
      <c r="G170" s="627">
        <v>-9</v>
      </c>
      <c r="H170" s="627">
        <v>-9</v>
      </c>
      <c r="I170" s="645">
        <v>-9</v>
      </c>
      <c r="J170" s="646">
        <v>-9</v>
      </c>
      <c r="K170" s="646">
        <v>-9</v>
      </c>
      <c r="L170" s="646">
        <v>-9</v>
      </c>
      <c r="M170" s="646">
        <v>-9</v>
      </c>
      <c r="N170" s="647">
        <v>-9</v>
      </c>
      <c r="O170" s="338"/>
    </row>
    <row r="171" spans="3:27" ht="14.25">
      <c r="C171" s="624" t="s">
        <v>1195</v>
      </c>
      <c r="D171" s="550"/>
      <c r="E171" s="625">
        <f t="shared" ref="E171:N171" si="49">E167+E169+E170</f>
        <v>374</v>
      </c>
      <c r="F171" s="625">
        <f t="shared" si="49"/>
        <v>509</v>
      </c>
      <c r="G171" s="625">
        <f t="shared" si="49"/>
        <v>685</v>
      </c>
      <c r="H171" s="625">
        <f t="shared" si="49"/>
        <v>756</v>
      </c>
      <c r="I171" s="625">
        <f t="shared" si="49"/>
        <v>829.9940604244955</v>
      </c>
      <c r="J171" s="625">
        <f t="shared" si="49"/>
        <v>908.60548697189358</v>
      </c>
      <c r="K171" s="625">
        <f t="shared" si="49"/>
        <v>985.95216675048505</v>
      </c>
      <c r="L171" s="625">
        <f t="shared" si="49"/>
        <v>1070.1462292346996</v>
      </c>
      <c r="M171" s="625">
        <f t="shared" si="49"/>
        <v>1168.6166451558247</v>
      </c>
      <c r="N171" s="625">
        <f t="shared" si="49"/>
        <v>1277.8198604353879</v>
      </c>
      <c r="O171" s="338"/>
    </row>
    <row r="172" spans="3:27" ht="14.25">
      <c r="C172" s="570"/>
      <c r="D172" s="550"/>
      <c r="E172" s="627"/>
      <c r="F172" s="627"/>
      <c r="G172" s="627"/>
      <c r="H172" s="627"/>
      <c r="I172" s="615"/>
      <c r="J172" s="616"/>
      <c r="K172" s="616"/>
      <c r="L172" s="616"/>
      <c r="M172" s="616"/>
      <c r="N172" s="617"/>
      <c r="O172" s="338"/>
      <c r="P172" s="633"/>
      <c r="V172" t="s">
        <v>1251</v>
      </c>
      <c r="W172" s="380">
        <f>E162</f>
        <v>424</v>
      </c>
      <c r="X172" s="380">
        <f t="shared" ref="X172:AA172" si="50">F162</f>
        <v>658</v>
      </c>
      <c r="Y172" s="380">
        <f t="shared" si="50"/>
        <v>853</v>
      </c>
      <c r="Z172" s="380">
        <f t="shared" si="50"/>
        <v>954</v>
      </c>
      <c r="AA172" s="380">
        <f t="shared" si="50"/>
        <v>1057.7089842214498</v>
      </c>
    </row>
    <row r="173" spans="3:27" ht="14.25">
      <c r="C173" s="570" t="s">
        <v>1196</v>
      </c>
      <c r="D173" s="550"/>
      <c r="E173">
        <v>174.375</v>
      </c>
      <c r="F173">
        <v>175.05</v>
      </c>
      <c r="G173" s="619">
        <v>175.04499999999999</v>
      </c>
      <c r="H173" s="619">
        <v>175.56</v>
      </c>
      <c r="I173" s="632">
        <v>173.5</v>
      </c>
      <c r="J173" s="633">
        <f>I173+J204</f>
        <v>170.4441922190403</v>
      </c>
      <c r="K173" s="633">
        <f t="shared" ref="K173:N173" si="51">J173+K204</f>
        <v>167.05355945237213</v>
      </c>
      <c r="L173" s="633">
        <f t="shared" si="51"/>
        <v>163.35019842081707</v>
      </c>
      <c r="M173" s="633">
        <f t="shared" si="51"/>
        <v>159.43510261615262</v>
      </c>
      <c r="N173" s="633">
        <f t="shared" si="51"/>
        <v>155.40132053090292</v>
      </c>
      <c r="V173" t="s">
        <v>1250</v>
      </c>
      <c r="W173" s="380">
        <f>E167</f>
        <v>381</v>
      </c>
      <c r="X173" s="380">
        <f t="shared" ref="X173:AA173" si="52">F167</f>
        <v>520</v>
      </c>
      <c r="Y173" s="380">
        <f t="shared" si="52"/>
        <v>706</v>
      </c>
      <c r="Z173" s="380">
        <f t="shared" si="52"/>
        <v>767</v>
      </c>
      <c r="AA173" s="380">
        <f t="shared" si="52"/>
        <v>842.9940604244955</v>
      </c>
    </row>
    <row r="174" spans="3:27" ht="14.25">
      <c r="C174" s="570"/>
      <c r="D174" s="550"/>
      <c r="E174" s="614"/>
      <c r="F174" s="614"/>
      <c r="G174" s="614"/>
      <c r="H174" s="614"/>
      <c r="I174" s="615">
        <f>I173/H173-1</f>
        <v>-1.1733880154932819E-2</v>
      </c>
      <c r="J174" s="615">
        <f t="shared" ref="J174:N174" si="53">J173/I173-1</f>
        <v>-1.7612724962303705E-2</v>
      </c>
      <c r="K174" s="615">
        <f t="shared" si="53"/>
        <v>-1.9892920506853207E-2</v>
      </c>
      <c r="L174" s="615">
        <f t="shared" si="53"/>
        <v>-2.2168704717787868E-2</v>
      </c>
      <c r="M174" s="615">
        <f t="shared" si="53"/>
        <v>-2.3967499534824688E-2</v>
      </c>
      <c r="N174" s="615">
        <f t="shared" si="53"/>
        <v>-2.5300464070081352E-2</v>
      </c>
      <c r="O174" s="338"/>
    </row>
    <row r="175" spans="3:27" ht="14.25">
      <c r="C175" s="570"/>
      <c r="D175" s="550"/>
      <c r="E175" s="614"/>
      <c r="F175" s="614"/>
      <c r="G175" s="614"/>
      <c r="H175" s="614"/>
      <c r="I175" s="615"/>
      <c r="J175" s="616"/>
      <c r="K175" s="616"/>
      <c r="L175" s="616"/>
      <c r="M175" s="616"/>
      <c r="N175" s="617"/>
      <c r="O175" s="338"/>
      <c r="X175" s="499">
        <f t="shared" ref="X175:Z175" si="54">X172/W172-1</f>
        <v>0.55188679245283012</v>
      </c>
      <c r="Y175" s="499">
        <f t="shared" si="54"/>
        <v>0.29635258358662608</v>
      </c>
      <c r="Z175" s="499">
        <f t="shared" si="54"/>
        <v>0.1184056271981242</v>
      </c>
      <c r="AA175" s="499">
        <f>AA172/Z172-1</f>
        <v>0.10870962706650911</v>
      </c>
    </row>
    <row r="176" spans="3:27" ht="14.25">
      <c r="C176" s="634" t="s">
        <v>1197</v>
      </c>
      <c r="D176" s="550"/>
      <c r="E176" s="635">
        <f>((E167+E169+E170)/E173)</f>
        <v>2.1448028673835124</v>
      </c>
      <c r="F176" s="635">
        <f>((F167+F169+F170)/F173)</f>
        <v>2.9077406455298482</v>
      </c>
      <c r="G176" s="635">
        <f>((G167+G169+G170)/G173)</f>
        <v>3.91327944242909</v>
      </c>
      <c r="H176" s="635">
        <f>((H167+H169+H170)/H173)</f>
        <v>4.3062200956937797</v>
      </c>
      <c r="I176" s="635">
        <f t="shared" ref="I176:N176" si="55">((I167+I169+I170)/I173)</f>
        <v>4.7838274376051615</v>
      </c>
      <c r="J176" s="635">
        <f t="shared" si="55"/>
        <v>5.3308093114972879</v>
      </c>
      <c r="K176" s="635">
        <f t="shared" si="55"/>
        <v>5.9020123245657947</v>
      </c>
      <c r="L176" s="635">
        <f t="shared" si="55"/>
        <v>6.5512392368072083</v>
      </c>
      <c r="M176" s="635">
        <f t="shared" si="55"/>
        <v>7.3297324490035507</v>
      </c>
      <c r="N176" s="635">
        <f t="shared" si="55"/>
        <v>8.2227091511830626</v>
      </c>
      <c r="O176" s="338"/>
      <c r="X176" s="499">
        <f t="shared" ref="X176:Z176" si="56">X173/W173-1</f>
        <v>0.36482939632545941</v>
      </c>
      <c r="Y176" s="499">
        <f t="shared" si="56"/>
        <v>0.35769230769230775</v>
      </c>
      <c r="Z176" s="499">
        <f t="shared" si="56"/>
        <v>8.6402266288951868E-2</v>
      </c>
      <c r="AA176" s="499">
        <f>AA173/Z173-1</f>
        <v>9.907960941915972E-2</v>
      </c>
    </row>
    <row r="177" spans="3:19" ht="12">
      <c r="C177" s="570"/>
      <c r="D177" s="636"/>
      <c r="E177" s="627">
        <v>2.14</v>
      </c>
      <c r="F177" s="627">
        <v>2.91</v>
      </c>
      <c r="G177" s="637">
        <v>3.91</v>
      </c>
      <c r="H177" s="637">
        <v>5.81</v>
      </c>
      <c r="I177" s="614"/>
      <c r="J177" s="614"/>
      <c r="K177" s="614"/>
      <c r="L177" s="614"/>
      <c r="M177" s="614"/>
      <c r="N177" s="614">
        <v>8.0600000000000005E-2</v>
      </c>
      <c r="O177" s="338"/>
    </row>
    <row r="178" spans="3:19" ht="12">
      <c r="C178" s="570"/>
      <c r="D178" s="570"/>
      <c r="E178" s="614"/>
      <c r="F178" s="614">
        <f t="shared" ref="F178:H178" si="57">F176/E176-1</f>
        <v>0.35571463920927093</v>
      </c>
      <c r="G178" s="614">
        <f t="shared" si="57"/>
        <v>0.34581447229314799</v>
      </c>
      <c r="H178" s="614">
        <f t="shared" si="57"/>
        <v>0.1004121118988579</v>
      </c>
      <c r="I178" s="614">
        <f>I176/H176-1</f>
        <v>0.11091103828830984</v>
      </c>
      <c r="J178" s="614">
        <f t="shared" ref="J178:N178" si="58">J176/I176-1</f>
        <v>0.11433980030139868</v>
      </c>
      <c r="K178" s="614">
        <f t="shared" si="58"/>
        <v>0.107151274729816</v>
      </c>
      <c r="L178" s="614">
        <f t="shared" si="58"/>
        <v>0.11000094146519368</v>
      </c>
      <c r="M178" s="614">
        <f t="shared" si="58"/>
        <v>0.11883144303790472</v>
      </c>
      <c r="N178" s="614">
        <f t="shared" si="58"/>
        <v>0.12182937213498279</v>
      </c>
      <c r="O178" s="338"/>
    </row>
    <row r="179" spans="3:19" ht="15" thickBot="1">
      <c r="C179" s="638" t="s">
        <v>1198</v>
      </c>
      <c r="D179" s="638"/>
      <c r="E179" s="639">
        <v>1.65</v>
      </c>
      <c r="F179" s="639">
        <v>1.75</v>
      </c>
      <c r="G179" s="639">
        <v>1.85</v>
      </c>
      <c r="H179" s="639">
        <v>2.2999999999999998</v>
      </c>
      <c r="I179" s="639">
        <v>1.85</v>
      </c>
      <c r="J179" s="639">
        <f>J176*J181</f>
        <v>1.8124751659090781</v>
      </c>
      <c r="K179" s="639">
        <f t="shared" ref="K179:N179" si="59">K176*K181</f>
        <v>2.0066841903523702</v>
      </c>
      <c r="L179" s="639">
        <f t="shared" si="59"/>
        <v>2.227421340514451</v>
      </c>
      <c r="M179" s="639">
        <f t="shared" si="59"/>
        <v>2.4921090326612072</v>
      </c>
      <c r="N179" s="639">
        <f t="shared" si="59"/>
        <v>2.7957211114022416</v>
      </c>
      <c r="O179" s="640"/>
      <c r="P179" s="641"/>
      <c r="Q179" s="641"/>
      <c r="R179" s="641"/>
      <c r="S179" s="641"/>
    </row>
    <row r="180" spans="3:19" ht="12.75" thickTop="1">
      <c r="C180" s="570"/>
      <c r="D180" s="570"/>
      <c r="E180" s="614"/>
      <c r="F180" s="614"/>
      <c r="G180" s="614"/>
      <c r="H180" s="614"/>
      <c r="I180" s="614"/>
      <c r="J180" s="614"/>
      <c r="K180" s="614"/>
      <c r="L180" s="614"/>
      <c r="M180" s="614"/>
      <c r="N180" s="614"/>
      <c r="O180" s="338"/>
    </row>
    <row r="181" spans="3:19" ht="12.75">
      <c r="C181" s="571" t="s">
        <v>1199</v>
      </c>
      <c r="D181" s="571"/>
      <c r="E181" s="642">
        <f>E179/E176</f>
        <v>0.76930147058823528</v>
      </c>
      <c r="F181" s="642">
        <f t="shared" ref="F181:I181" si="60">F179/F176</f>
        <v>0.60184184675834973</v>
      </c>
      <c r="G181" s="642">
        <f t="shared" si="60"/>
        <v>0.47274927007299267</v>
      </c>
      <c r="H181" s="642">
        <f t="shared" si="60"/>
        <v>0.53411111111111109</v>
      </c>
      <c r="I181" s="642">
        <f t="shared" si="60"/>
        <v>0.38671963488008487</v>
      </c>
      <c r="J181" s="656">
        <v>0.34</v>
      </c>
      <c r="K181" s="656">
        <f>J181</f>
        <v>0.34</v>
      </c>
      <c r="L181" s="656">
        <f t="shared" ref="L181:N181" si="61">K181</f>
        <v>0.34</v>
      </c>
      <c r="M181" s="656">
        <f t="shared" si="61"/>
        <v>0.34</v>
      </c>
      <c r="N181" s="656">
        <f t="shared" si="61"/>
        <v>0.34</v>
      </c>
      <c r="O181" s="338"/>
    </row>
    <row r="182" spans="3:19" ht="12.75">
      <c r="C182" s="571"/>
      <c r="D182" s="571"/>
      <c r="E182" s="571"/>
      <c r="F182" s="571"/>
      <c r="G182" s="571"/>
      <c r="H182" s="571"/>
      <c r="I182" s="571"/>
      <c r="J182" s="571"/>
      <c r="K182" s="571"/>
      <c r="L182" s="571"/>
      <c r="M182" s="571"/>
      <c r="N182" s="571"/>
      <c r="O182" s="338"/>
    </row>
    <row r="183" spans="3:19" ht="12.75">
      <c r="C183" s="643" t="s">
        <v>1200</v>
      </c>
      <c r="D183" s="571"/>
      <c r="E183" s="571">
        <v>5631</v>
      </c>
      <c r="F183" s="571">
        <v>6180</v>
      </c>
      <c r="G183" s="571">
        <v>7065</v>
      </c>
      <c r="H183" s="571">
        <v>7786</v>
      </c>
      <c r="I183" s="571">
        <v>8321</v>
      </c>
      <c r="J183" s="571"/>
      <c r="K183" s="571"/>
      <c r="L183" s="571"/>
      <c r="M183" s="571"/>
      <c r="N183" s="571"/>
      <c r="O183" s="338"/>
    </row>
    <row r="184" spans="3:19" ht="12.75">
      <c r="C184" s="571"/>
      <c r="D184" s="571"/>
      <c r="E184" s="571"/>
      <c r="F184" s="571"/>
      <c r="G184" s="571"/>
      <c r="H184" s="571"/>
      <c r="I184" s="571"/>
      <c r="J184" s="571"/>
      <c r="K184" s="571"/>
      <c r="L184" s="571"/>
      <c r="M184" s="571"/>
      <c r="N184" s="571"/>
      <c r="O184" s="338"/>
    </row>
    <row r="185" spans="3:19" ht="12.75">
      <c r="C185" s="652" t="s">
        <v>1203</v>
      </c>
      <c r="D185" s="652"/>
      <c r="E185" s="652">
        <f>674-253-2557</f>
        <v>-2136</v>
      </c>
      <c r="F185" s="652">
        <f>1548-853-2552</f>
        <v>-1857</v>
      </c>
      <c r="G185" s="652">
        <f>1853-77-2551</f>
        <v>-775</v>
      </c>
      <c r="H185" s="652">
        <f>1851-77-1801</f>
        <v>-27</v>
      </c>
      <c r="I185" s="663">
        <f>H185+I195</f>
        <v>-15.729454681628454</v>
      </c>
      <c r="J185" s="663">
        <f t="shared" ref="J185:N185" si="62">I185+J195</f>
        <v>16.54879497684783</v>
      </c>
      <c r="K185" s="663">
        <f t="shared" si="62"/>
        <v>30.5391833445467</v>
      </c>
      <c r="L185" s="663">
        <f t="shared" si="62"/>
        <v>29.049137330773533</v>
      </c>
      <c r="M185" s="663">
        <f t="shared" si="62"/>
        <v>27.931961844661657</v>
      </c>
      <c r="N185" s="663">
        <f t="shared" si="62"/>
        <v>41.58810462317075</v>
      </c>
      <c r="O185" s="338"/>
    </row>
    <row r="186" spans="3:19" ht="12.75">
      <c r="C186" s="653"/>
      <c r="D186" s="654"/>
      <c r="E186" s="654"/>
      <c r="F186" s="654"/>
      <c r="G186" s="654"/>
      <c r="H186" s="654"/>
      <c r="I186" s="654"/>
      <c r="J186" s="654"/>
      <c r="K186" s="654"/>
      <c r="L186" s="654"/>
      <c r="M186" s="654"/>
      <c r="N186" s="654"/>
    </row>
    <row r="188" spans="3:19" ht="12.75">
      <c r="C188" s="651" t="s">
        <v>1204</v>
      </c>
      <c r="E188">
        <v>18</v>
      </c>
      <c r="F188">
        <v>542</v>
      </c>
      <c r="G188">
        <v>449</v>
      </c>
      <c r="H188">
        <v>671</v>
      </c>
      <c r="I188" s="659">
        <f>I167*I189</f>
        <v>632.24554531837157</v>
      </c>
      <c r="J188" s="659">
        <f>J167*J189</f>
        <v>691.20411522892016</v>
      </c>
      <c r="K188" s="659">
        <f t="shared" ref="K188:N188" si="63">K167*K189</f>
        <v>749.21412506286379</v>
      </c>
      <c r="L188" s="659">
        <f t="shared" si="63"/>
        <v>812.3596719260247</v>
      </c>
      <c r="M188" s="659">
        <f t="shared" si="63"/>
        <v>886.21248386686852</v>
      </c>
      <c r="N188" s="659">
        <f t="shared" si="63"/>
        <v>968.11489532654093</v>
      </c>
    </row>
    <row r="189" spans="3:19" ht="12.75">
      <c r="C189" s="651" t="s">
        <v>1205</v>
      </c>
      <c r="E189" s="499">
        <f t="shared" ref="E189:G189" si="64">E188/E167</f>
        <v>4.7244094488188976E-2</v>
      </c>
      <c r="F189" s="657">
        <f t="shared" si="64"/>
        <v>1.0423076923076924</v>
      </c>
      <c r="G189" s="657">
        <f t="shared" si="64"/>
        <v>0.63597733711048154</v>
      </c>
      <c r="H189" s="657">
        <f>H188/H167</f>
        <v>0.87483702737940028</v>
      </c>
      <c r="I189" s="658">
        <v>0.75</v>
      </c>
      <c r="J189" s="658">
        <f>I189</f>
        <v>0.75</v>
      </c>
      <c r="K189" s="658">
        <f t="shared" ref="K189:N189" si="65">J189</f>
        <v>0.75</v>
      </c>
      <c r="L189" s="658">
        <f t="shared" si="65"/>
        <v>0.75</v>
      </c>
      <c r="M189" s="658">
        <f t="shared" si="65"/>
        <v>0.75</v>
      </c>
      <c r="N189" s="658">
        <f t="shared" si="65"/>
        <v>0.75</v>
      </c>
    </row>
    <row r="191" spans="3:19" ht="12.75">
      <c r="C191" s="651"/>
    </row>
    <row r="192" spans="3:19" ht="12.75">
      <c r="C192" s="651" t="s">
        <v>1206</v>
      </c>
      <c r="I192">
        <f>-I179*I173</f>
        <v>-320.97500000000002</v>
      </c>
      <c r="J192">
        <f t="shared" ref="J192:N192" si="66">-J179*J173</f>
        <v>-308.92586557044388</v>
      </c>
      <c r="K192">
        <f t="shared" si="66"/>
        <v>-335.22373669516492</v>
      </c>
      <c r="L192">
        <f t="shared" si="66"/>
        <v>-363.84971793979787</v>
      </c>
      <c r="M192">
        <f t="shared" si="66"/>
        <v>-397.3296593529804</v>
      </c>
      <c r="N192">
        <f t="shared" si="66"/>
        <v>-434.4587525480319</v>
      </c>
    </row>
    <row r="193" spans="3:16" ht="12.75">
      <c r="C193" s="651" t="s">
        <v>1160</v>
      </c>
      <c r="I193" s="654"/>
    </row>
    <row r="194" spans="3:16" ht="12.75">
      <c r="C194" s="651" t="s">
        <v>1207</v>
      </c>
      <c r="I194" s="654">
        <v>-300</v>
      </c>
      <c r="J194">
        <v>-350</v>
      </c>
      <c r="K194">
        <v>-400</v>
      </c>
      <c r="L194">
        <v>-450</v>
      </c>
      <c r="M194">
        <v>-490</v>
      </c>
      <c r="N194">
        <v>-520</v>
      </c>
      <c r="P194" t="s">
        <v>1235</v>
      </c>
    </row>
    <row r="195" spans="3:16" ht="12.75">
      <c r="C195" s="660" t="s">
        <v>1210</v>
      </c>
      <c r="D195" s="661"/>
      <c r="E195" s="661"/>
      <c r="F195" s="662"/>
      <c r="G195" s="662"/>
      <c r="H195" s="662"/>
      <c r="I195" s="662">
        <f>I188+I192+I193+I194</f>
        <v>11.270545318371546</v>
      </c>
      <c r="J195" s="662">
        <f t="shared" ref="J195:N195" si="67">J188+J192+J193+J194</f>
        <v>32.278249658476284</v>
      </c>
      <c r="K195" s="662">
        <f t="shared" si="67"/>
        <v>13.99038836769887</v>
      </c>
      <c r="L195" s="662">
        <f t="shared" si="67"/>
        <v>-1.490046013773167</v>
      </c>
      <c r="M195" s="662">
        <f t="shared" si="67"/>
        <v>-1.1171754861118757</v>
      </c>
      <c r="N195" s="662">
        <f t="shared" si="67"/>
        <v>13.656142778509093</v>
      </c>
    </row>
    <row r="197" spans="3:16" ht="12.75">
      <c r="C197" s="652" t="s">
        <v>1208</v>
      </c>
      <c r="D197" s="654"/>
      <c r="E197" s="654">
        <f>E185/E151</f>
        <v>-1.9869767441860464</v>
      </c>
      <c r="F197" s="654">
        <f t="shared" ref="F197:G197" si="68">F185/F151</f>
        <v>-1.4714738510301109</v>
      </c>
      <c r="G197" s="654">
        <f t="shared" si="68"/>
        <v>-0.53633217993079585</v>
      </c>
      <c r="H197" s="654">
        <f>H185/H151</f>
        <v>-1.7624020887728461E-2</v>
      </c>
      <c r="I197" s="654">
        <f>I185/I151</f>
        <v>-9.2676121264565932E-3</v>
      </c>
      <c r="J197" s="654"/>
      <c r="K197" s="654"/>
      <c r="L197" s="654"/>
      <c r="M197" s="654"/>
      <c r="N197" s="654"/>
    </row>
    <row r="200" spans="3:16">
      <c r="C200" t="s">
        <v>1209</v>
      </c>
      <c r="D200" s="499" t="e">
        <f>D167/D183</f>
        <v>#DIV/0!</v>
      </c>
      <c r="E200" s="499">
        <f t="shared" ref="E200:N200" si="69">E167/E183</f>
        <v>6.766116142781034E-2</v>
      </c>
      <c r="F200" s="499">
        <f t="shared" si="69"/>
        <v>8.4142394822006472E-2</v>
      </c>
      <c r="G200" s="499">
        <f t="shared" si="69"/>
        <v>9.9929228591648975E-2</v>
      </c>
      <c r="H200" s="499">
        <f t="shared" si="69"/>
        <v>9.8510146416645267E-2</v>
      </c>
      <c r="I200" s="499">
        <f t="shared" si="69"/>
        <v>0.10130922490379708</v>
      </c>
      <c r="J200" t="e">
        <f t="shared" si="69"/>
        <v>#DIV/0!</v>
      </c>
      <c r="K200" t="e">
        <f t="shared" si="69"/>
        <v>#DIV/0!</v>
      </c>
      <c r="L200" t="e">
        <f t="shared" si="69"/>
        <v>#DIV/0!</v>
      </c>
      <c r="M200" t="e">
        <f t="shared" si="69"/>
        <v>#DIV/0!</v>
      </c>
      <c r="N200" t="e">
        <f t="shared" si="69"/>
        <v>#DIV/0!</v>
      </c>
    </row>
    <row r="203" spans="3:16">
      <c r="H203" s="650" t="s">
        <v>1211</v>
      </c>
      <c r="I203" s="659">
        <v>111.2</v>
      </c>
      <c r="J203" s="659">
        <f>I203*1.03</f>
        <v>114.536</v>
      </c>
      <c r="K203" s="659">
        <f t="shared" ref="K203:N203" si="70">J203*1.03</f>
        <v>117.97208000000001</v>
      </c>
      <c r="L203" s="659">
        <f t="shared" si="70"/>
        <v>121.51124240000001</v>
      </c>
      <c r="M203" s="659">
        <f t="shared" si="70"/>
        <v>125.15657967200002</v>
      </c>
      <c r="N203" s="659">
        <f t="shared" si="70"/>
        <v>128.91127706216002</v>
      </c>
    </row>
    <row r="204" spans="3:16">
      <c r="H204" s="650" t="s">
        <v>1212</v>
      </c>
      <c r="I204">
        <f>I194/I203</f>
        <v>-2.6978417266187051</v>
      </c>
      <c r="J204">
        <f t="shared" ref="J204:N204" si="71">J194/J203</f>
        <v>-3.0558077809596984</v>
      </c>
      <c r="K204">
        <f t="shared" si="71"/>
        <v>-3.390632766668181</v>
      </c>
      <c r="L204">
        <f t="shared" si="71"/>
        <v>-3.7033610315550516</v>
      </c>
      <c r="M204">
        <f t="shared" si="71"/>
        <v>-3.9150958046644559</v>
      </c>
      <c r="N204">
        <f t="shared" si="71"/>
        <v>-4.0337820852496868</v>
      </c>
    </row>
    <row r="207" spans="3:16">
      <c r="C207" t="s">
        <v>1234</v>
      </c>
      <c r="D207" t="e">
        <f t="shared" ref="D207:H207" si="72">D183/D173</f>
        <v>#DIV/0!</v>
      </c>
      <c r="E207">
        <f t="shared" si="72"/>
        <v>32.292473118279567</v>
      </c>
      <c r="F207">
        <f t="shared" si="72"/>
        <v>35.304198800342753</v>
      </c>
      <c r="G207">
        <f t="shared" si="72"/>
        <v>40.361050015710248</v>
      </c>
      <c r="H207">
        <f t="shared" si="72"/>
        <v>44.349510138983824</v>
      </c>
      <c r="I207">
        <f>I183/I173</f>
        <v>47.959654178674349</v>
      </c>
      <c r="J207">
        <f t="shared" ref="J207:N207" si="73">J183/J173</f>
        <v>0</v>
      </c>
      <c r="K207">
        <f t="shared" si="73"/>
        <v>0</v>
      </c>
      <c r="L207">
        <f t="shared" si="73"/>
        <v>0</v>
      </c>
      <c r="M207">
        <f t="shared" si="73"/>
        <v>0</v>
      </c>
      <c r="N207">
        <f t="shared" si="73"/>
        <v>0</v>
      </c>
    </row>
    <row r="213" spans="3:7">
      <c r="C213" s="650" t="s">
        <v>1244</v>
      </c>
      <c r="D213" s="650" t="s">
        <v>1245</v>
      </c>
      <c r="E213" s="650" t="s">
        <v>1246</v>
      </c>
    </row>
    <row r="214" spans="3:7">
      <c r="C214">
        <v>4761</v>
      </c>
      <c r="D214">
        <v>21</v>
      </c>
      <c r="E214">
        <f>C214*D214</f>
        <v>99981</v>
      </c>
      <c r="F214">
        <v>1.11822</v>
      </c>
      <c r="G214">
        <f>E214*F214</f>
        <v>111800.75382</v>
      </c>
    </row>
  </sheetData>
  <pageMargins left="0.7" right="0.7" top="0.75" bottom="0.75" header="0.3" footer="0.3"/>
  <pageSetup orientation="portrait" horizontalDpi="90" verticalDpi="90"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SOverview">
    <pageSetUpPr fitToPage="1"/>
  </sheetPr>
  <dimension ref="A1:CA74"/>
  <sheetViews>
    <sheetView showGridLines="0" topLeftCell="A4" zoomScale="130" zoomScaleNormal="130" workbookViewId="0">
      <selection activeCell="I46" sqref="I46:K46"/>
    </sheetView>
  </sheetViews>
  <sheetFormatPr defaultRowHeight="15"/>
  <cols>
    <col min="1" max="1" width="1.33203125" style="17" customWidth="1"/>
    <col min="2" max="22" width="6.5" style="18" customWidth="1"/>
    <col min="23" max="23" width="17" style="18" customWidth="1"/>
    <col min="24" max="24" width="21.5" style="18" customWidth="1"/>
    <col min="25" max="29" width="10.1640625" style="34" customWidth="1"/>
    <col min="30" max="79" width="10.1640625" style="34" bestFit="1" customWidth="1"/>
    <col min="80" max="16384" width="9.33203125" style="18"/>
  </cols>
  <sheetData>
    <row r="1" spans="1:79" s="25" customFormat="1" ht="12" customHeight="1">
      <c r="A1" s="24"/>
      <c r="B1" s="69"/>
      <c r="C1" s="69"/>
      <c r="D1" s="69"/>
      <c r="E1" s="228"/>
      <c r="F1" s="688" t="str">
        <f>DL_SEC_NAME &amp; ""</f>
        <v>KONINKLIJKE DSM NV ORDINARY SHARES EUR1.50</v>
      </c>
      <c r="G1" s="688"/>
      <c r="H1" s="688"/>
      <c r="I1" s="688"/>
      <c r="J1" s="688"/>
      <c r="K1" s="688"/>
      <c r="L1" s="688"/>
      <c r="M1" s="688"/>
      <c r="N1" s="688"/>
      <c r="P1" s="15"/>
      <c r="Q1" s="15"/>
      <c r="R1" s="15"/>
      <c r="S1" s="15"/>
      <c r="T1" s="15"/>
      <c r="U1" s="15"/>
      <c r="V1" s="15"/>
      <c r="W1" s="73"/>
      <c r="X1" s="255" t="s">
        <v>589</v>
      </c>
      <c r="Y1" s="729" t="e">
        <f ca="1">EDATE(_xll.FDS(SEC_CODE,"P_DIVS_PD(1,,,,""EXDATEI"")"),0)</f>
        <v>#NAME?</v>
      </c>
      <c r="Z1" s="729"/>
      <c r="AA1" s="74" t="s">
        <v>595</v>
      </c>
      <c r="AB1" s="75" t="s">
        <v>596</v>
      </c>
      <c r="AC1" s="74" t="s">
        <v>597</v>
      </c>
      <c r="AD1" s="725">
        <f>IF(T6="",DL_FISCAL_YEAR_END,T6)</f>
        <v>43465</v>
      </c>
      <c r="AE1" s="725"/>
      <c r="AF1" s="26"/>
      <c r="AG1" s="26"/>
      <c r="AH1" s="26"/>
      <c r="AI1" s="26"/>
      <c r="AJ1" s="26"/>
      <c r="AK1" s="26"/>
      <c r="AL1" s="26"/>
      <c r="AM1" s="26"/>
      <c r="AN1" s="26"/>
      <c r="AO1" s="26"/>
      <c r="AP1" s="26"/>
      <c r="AQ1" s="26"/>
      <c r="AR1" s="26"/>
      <c r="AS1" s="26"/>
      <c r="AT1" s="26"/>
      <c r="AU1" s="26"/>
      <c r="AV1" s="26"/>
      <c r="AW1" s="26"/>
      <c r="AX1" s="26"/>
      <c r="AY1" s="26"/>
      <c r="AZ1" s="26"/>
      <c r="BA1" s="26"/>
      <c r="BB1" s="26"/>
      <c r="BC1" s="26"/>
      <c r="BD1" s="26"/>
      <c r="BE1" s="26"/>
      <c r="BF1" s="26"/>
      <c r="BG1" s="26"/>
      <c r="BH1" s="26"/>
      <c r="BI1" s="26"/>
      <c r="BJ1" s="26"/>
      <c r="BK1" s="26"/>
      <c r="BL1" s="26"/>
      <c r="BM1" s="26"/>
      <c r="BN1" s="26"/>
      <c r="BO1" s="26"/>
      <c r="BP1" s="26"/>
      <c r="BQ1" s="26"/>
      <c r="BR1" s="26"/>
      <c r="BS1" s="26"/>
      <c r="BT1" s="26"/>
      <c r="BU1" s="26"/>
      <c r="BV1" s="26"/>
      <c r="BW1" s="26"/>
      <c r="BX1" s="26"/>
      <c r="BY1" s="26"/>
      <c r="BZ1" s="26"/>
      <c r="CA1" s="26"/>
    </row>
    <row r="2" spans="1:79" s="25" customFormat="1" ht="12" customHeight="1">
      <c r="A2" s="24"/>
      <c r="B2" s="69"/>
      <c r="C2" s="69"/>
      <c r="D2" s="69"/>
      <c r="E2" s="228"/>
      <c r="F2" s="688"/>
      <c r="G2" s="688"/>
      <c r="H2" s="688"/>
      <c r="I2" s="688"/>
      <c r="J2" s="688"/>
      <c r="K2" s="688"/>
      <c r="L2" s="688"/>
      <c r="M2" s="688"/>
      <c r="N2" s="688"/>
      <c r="O2" s="693" t="s">
        <v>571</v>
      </c>
      <c r="P2" s="693"/>
      <c r="Q2" s="693"/>
      <c r="R2" s="693"/>
      <c r="S2" s="693"/>
      <c r="T2" s="693"/>
      <c r="U2" s="237"/>
      <c r="V2" s="237"/>
      <c r="W2" s="15"/>
      <c r="X2" s="251" t="s">
        <v>588</v>
      </c>
      <c r="Y2" s="729" t="e">
        <f ca="1">EDATE(_xll.FDS(SEC_CODE,"P_DIVS_PD(0,,,,""EXDATEI"")"),0)</f>
        <v>#NAME?</v>
      </c>
      <c r="Z2" s="729"/>
      <c r="AA2" s="76"/>
      <c r="AB2" s="76"/>
      <c r="AC2" s="76"/>
      <c r="AD2" s="26"/>
      <c r="AE2" s="26"/>
      <c r="AF2" s="26"/>
      <c r="AG2" s="26"/>
      <c r="AH2" s="26"/>
      <c r="AI2" s="26"/>
      <c r="AJ2" s="26"/>
      <c r="AK2" s="26"/>
      <c r="AL2" s="26"/>
      <c r="AM2" s="26"/>
      <c r="AN2" s="26"/>
      <c r="AO2" s="26"/>
      <c r="AP2" s="26"/>
      <c r="AQ2" s="26"/>
      <c r="AR2" s="26"/>
      <c r="AS2" s="26"/>
      <c r="AT2" s="26"/>
      <c r="AU2" s="26"/>
      <c r="AV2" s="26"/>
      <c r="AW2" s="26"/>
      <c r="AX2" s="26"/>
      <c r="AY2" s="26"/>
      <c r="AZ2" s="26"/>
      <c r="BA2" s="26"/>
      <c r="BB2" s="26"/>
      <c r="BC2" s="26"/>
      <c r="BD2" s="26"/>
      <c r="BE2" s="26"/>
      <c r="BF2" s="26"/>
      <c r="BG2" s="26"/>
      <c r="BH2" s="26"/>
      <c r="BI2" s="26"/>
      <c r="BJ2" s="26"/>
      <c r="BK2" s="26"/>
      <c r="BL2" s="26"/>
      <c r="BM2" s="26"/>
      <c r="BN2" s="26"/>
      <c r="BO2" s="26"/>
      <c r="BP2" s="26"/>
      <c r="BQ2" s="26"/>
      <c r="BR2" s="26"/>
      <c r="BS2" s="26"/>
      <c r="BT2" s="26"/>
      <c r="BU2" s="26"/>
      <c r="BV2" s="26"/>
      <c r="BW2" s="26"/>
      <c r="BX2" s="26"/>
      <c r="BY2" s="26"/>
      <c r="BZ2" s="26"/>
      <c r="CA2" s="26"/>
    </row>
    <row r="3" spans="1:79" s="25" customFormat="1" ht="0.75" customHeight="1">
      <c r="A3" s="24"/>
      <c r="B3" s="69"/>
      <c r="C3" s="69"/>
      <c r="D3" s="69"/>
      <c r="E3" s="228"/>
      <c r="F3" s="688"/>
      <c r="G3" s="688"/>
      <c r="H3" s="688"/>
      <c r="I3" s="688"/>
      <c r="J3" s="688"/>
      <c r="K3" s="688"/>
      <c r="L3" s="688"/>
      <c r="M3" s="688"/>
      <c r="N3" s="688"/>
      <c r="O3" s="237"/>
      <c r="P3" s="237"/>
      <c r="Q3" s="237"/>
      <c r="R3" s="237"/>
      <c r="S3" s="237"/>
      <c r="T3" s="237"/>
      <c r="U3" s="699"/>
      <c r="V3" s="699"/>
      <c r="W3" s="15"/>
      <c r="X3" s="15"/>
      <c r="Y3" s="241"/>
      <c r="Z3" s="242"/>
      <c r="AA3" s="26"/>
      <c r="AB3" s="26"/>
      <c r="AC3" s="26"/>
      <c r="AD3" s="26"/>
      <c r="AE3" s="26"/>
      <c r="AF3" s="26"/>
      <c r="AG3" s="26"/>
      <c r="AH3" s="26"/>
      <c r="AI3" s="26"/>
      <c r="AJ3" s="26"/>
      <c r="AK3" s="26"/>
      <c r="AL3" s="26"/>
      <c r="AM3" s="26"/>
      <c r="AN3" s="26"/>
      <c r="AO3" s="26"/>
      <c r="AP3" s="26"/>
      <c r="AQ3" s="26"/>
      <c r="AR3" s="26"/>
      <c r="AS3" s="26"/>
      <c r="AT3" s="26"/>
      <c r="AU3" s="26"/>
      <c r="AV3" s="26"/>
      <c r="AW3" s="26"/>
      <c r="AX3" s="26"/>
      <c r="AY3" s="26"/>
      <c r="AZ3" s="26"/>
      <c r="BA3" s="26"/>
      <c r="BB3" s="26"/>
      <c r="BC3" s="26"/>
      <c r="BD3" s="26"/>
      <c r="BE3" s="26"/>
      <c r="BF3" s="26"/>
      <c r="BG3" s="26"/>
      <c r="BH3" s="26"/>
      <c r="BI3" s="26"/>
      <c r="BJ3" s="26"/>
      <c r="BK3" s="26"/>
      <c r="BL3" s="26"/>
      <c r="BM3" s="26"/>
      <c r="BN3" s="26"/>
      <c r="BO3" s="26"/>
      <c r="BP3" s="26"/>
      <c r="BQ3" s="26"/>
      <c r="BR3" s="26"/>
      <c r="BS3" s="26"/>
      <c r="BT3" s="26"/>
      <c r="BU3" s="26"/>
      <c r="BV3" s="26"/>
      <c r="BW3" s="26"/>
      <c r="BX3" s="26"/>
      <c r="BY3" s="26"/>
      <c r="BZ3" s="26"/>
      <c r="CA3" s="26"/>
    </row>
    <row r="4" spans="1:79" s="25" customFormat="1" ht="9.75" customHeight="1">
      <c r="A4" s="24"/>
      <c r="B4" s="69"/>
      <c r="C4" s="69"/>
      <c r="D4" s="69"/>
      <c r="E4" s="228"/>
      <c r="F4" s="688"/>
      <c r="G4" s="688"/>
      <c r="H4" s="688"/>
      <c r="I4" s="688"/>
      <c r="J4" s="688"/>
      <c r="K4" s="688"/>
      <c r="L4" s="688"/>
      <c r="M4" s="688"/>
      <c r="N4" s="688"/>
      <c r="O4" s="693" t="s">
        <v>570</v>
      </c>
      <c r="P4" s="693"/>
      <c r="Q4" s="693"/>
      <c r="R4" s="693"/>
      <c r="S4" s="693"/>
      <c r="T4" s="693"/>
      <c r="U4" s="237"/>
      <c r="V4" s="237"/>
      <c r="W4" s="15"/>
      <c r="X4" s="248" t="s">
        <v>587</v>
      </c>
      <c r="Y4" s="730" t="e">
        <f ca="1">_xll.FDS(SEC_CODE,"P_DIVS_PD(1)")</f>
        <v>#NAME?</v>
      </c>
      <c r="Z4" s="730"/>
      <c r="AA4" s="26"/>
      <c r="AB4" s="26"/>
      <c r="AC4" s="26"/>
      <c r="AD4" s="26"/>
      <c r="AE4" s="26"/>
      <c r="AF4" s="26"/>
      <c r="AG4" s="26"/>
      <c r="AH4" s="26"/>
      <c r="AI4" s="26"/>
      <c r="AJ4" s="26"/>
      <c r="AK4" s="26"/>
      <c r="AL4" s="26"/>
      <c r="AM4" s="26"/>
      <c r="AN4" s="26"/>
      <c r="AO4" s="26"/>
      <c r="AP4" s="26"/>
      <c r="AQ4" s="26"/>
      <c r="AR4" s="26"/>
      <c r="AS4" s="26"/>
      <c r="AT4" s="26"/>
      <c r="AU4" s="26"/>
      <c r="AV4" s="26"/>
      <c r="AW4" s="26"/>
      <c r="AX4" s="26"/>
      <c r="AY4" s="26"/>
      <c r="AZ4" s="26"/>
      <c r="BA4" s="26"/>
      <c r="BB4" s="26"/>
      <c r="BC4" s="26"/>
      <c r="BD4" s="26"/>
      <c r="BE4" s="26"/>
      <c r="BF4" s="26"/>
      <c r="BG4" s="26"/>
      <c r="BH4" s="26"/>
      <c r="BI4" s="26"/>
      <c r="BJ4" s="26"/>
      <c r="BK4" s="26"/>
      <c r="BL4" s="26"/>
      <c r="BM4" s="26"/>
      <c r="BN4" s="26"/>
      <c r="BO4" s="26"/>
      <c r="BP4" s="26"/>
      <c r="BQ4" s="26"/>
      <c r="BR4" s="26"/>
      <c r="BS4" s="26"/>
      <c r="BT4" s="26"/>
      <c r="BU4" s="26"/>
      <c r="BV4" s="26"/>
      <c r="BW4" s="26"/>
      <c r="BX4" s="26"/>
      <c r="BY4" s="26"/>
      <c r="BZ4" s="26"/>
      <c r="CA4" s="26"/>
    </row>
    <row r="5" spans="1:79" s="25" customFormat="1" ht="12" customHeight="1">
      <c r="A5" s="24"/>
      <c r="B5" s="69"/>
      <c r="C5" s="69"/>
      <c r="D5" s="69"/>
      <c r="E5" s="160"/>
      <c r="F5" s="230" t="str">
        <f>DL_SEC_ANALYST &amp; ""</f>
        <v>James Govan</v>
      </c>
      <c r="G5" s="69"/>
      <c r="H5" s="69"/>
      <c r="I5" s="69"/>
      <c r="J5" s="69"/>
      <c r="K5" s="69"/>
      <c r="L5" s="69"/>
      <c r="N5" s="69"/>
      <c r="O5" s="693" t="s">
        <v>572</v>
      </c>
      <c r="P5" s="693"/>
      <c r="Q5" s="693"/>
      <c r="R5" s="693"/>
      <c r="S5" s="693"/>
      <c r="T5" s="693"/>
      <c r="U5" s="237"/>
      <c r="V5" s="237"/>
      <c r="W5" s="15"/>
      <c r="X5" s="251" t="s">
        <v>591</v>
      </c>
      <c r="Y5" s="726" t="e">
        <f ca="1">IF(Y6="Quarterly",DPS_FY1/4*IF((PRICE_DATE-FY0_DATE)/(EDATE($K$25,12)-FY0_DATE)&lt;=0.35,0,IF((PRICE_DATE-FY0_DATE)/(EDATE($K$25,12)-FY0_DATE)&lt;=0.6,1,IF((PRICE_DATE-FY0_DATE)/(EDATE($K$25,12)-FY0_DATE)&lt;=0.85,2,IF((PRICE_DATE-FY0_DATE)/(EDATE($K$25,12)-FY0_DATE)&lt;=1.1,3,4)))),IF(Y6="Semi-annual",DPS_FY1/2*IF((PRICE_DATE-FY0_DATE)/(EDATE($K$25,12)-FY0_DATE)&lt;=0.6,0,IF((PRICE_DATE-FY0_DATE)/(EDATE($K$25,12)-FY0_DATE)&lt;=1.1,1,2)),IF(Y6="Annual",DPS_FY1*IF((PRICE_DATE-FY0_DATE)/(EDATE($K$25,12)-FY0_DATE)&lt;=1.1,0,1))))</f>
        <v>#NAME?</v>
      </c>
      <c r="Z5" s="726"/>
      <c r="AA5" s="58"/>
      <c r="AB5" s="26"/>
      <c r="AC5" s="26"/>
      <c r="AD5" s="26"/>
      <c r="AE5" s="26"/>
      <c r="AF5" s="26"/>
      <c r="AG5" s="26"/>
      <c r="AH5" s="26"/>
      <c r="AI5" s="26"/>
      <c r="AJ5" s="26"/>
      <c r="AK5" s="26"/>
      <c r="AL5" s="26"/>
      <c r="AM5" s="26"/>
      <c r="AN5" s="26"/>
      <c r="AO5" s="26"/>
      <c r="AP5" s="26"/>
      <c r="AQ5" s="26"/>
      <c r="AR5" s="26"/>
      <c r="AS5" s="26"/>
      <c r="AT5" s="26"/>
      <c r="AU5" s="26"/>
      <c r="AV5" s="26"/>
      <c r="AW5" s="26"/>
      <c r="AX5" s="26"/>
      <c r="AY5" s="26"/>
      <c r="AZ5" s="26"/>
      <c r="BA5" s="26"/>
      <c r="BB5" s="26"/>
      <c r="BC5" s="26"/>
      <c r="BD5" s="26"/>
      <c r="BE5" s="26"/>
      <c r="BF5" s="26"/>
      <c r="BG5" s="26"/>
      <c r="BH5" s="26"/>
      <c r="BI5" s="26"/>
      <c r="BJ5" s="26"/>
      <c r="BK5" s="26"/>
      <c r="BL5" s="26"/>
      <c r="BM5" s="26"/>
      <c r="BN5" s="26"/>
      <c r="BO5" s="26"/>
      <c r="BP5" s="26"/>
      <c r="BQ5" s="26"/>
      <c r="BR5" s="26"/>
      <c r="BS5" s="26"/>
      <c r="BT5" s="26"/>
      <c r="BU5" s="26"/>
      <c r="BV5" s="26"/>
      <c r="BW5" s="26"/>
      <c r="BX5" s="26"/>
      <c r="BY5" s="26"/>
      <c r="BZ5" s="26"/>
      <c r="CA5" s="26"/>
    </row>
    <row r="6" spans="1:79" s="25" customFormat="1" ht="12" customHeight="1">
      <c r="A6" s="24"/>
      <c r="B6" s="69"/>
      <c r="C6" s="69"/>
      <c r="D6" s="69"/>
      <c r="E6" s="160"/>
      <c r="F6" s="230" t="str">
        <f>PROPER(DL_SEC_COUNTRY)</f>
        <v>Netherlands</v>
      </c>
      <c r="G6" s="69"/>
      <c r="H6" s="69"/>
      <c r="I6" s="69"/>
      <c r="J6" s="69"/>
      <c r="K6" s="69"/>
      <c r="L6" s="69"/>
      <c r="N6" s="69"/>
      <c r="O6" s="15"/>
      <c r="P6" s="15"/>
      <c r="Q6" s="15"/>
      <c r="R6" s="15"/>
      <c r="S6" s="15"/>
      <c r="T6" s="689"/>
      <c r="U6" s="689"/>
      <c r="V6" s="689"/>
      <c r="W6" s="15"/>
      <c r="X6" s="251" t="s">
        <v>590</v>
      </c>
      <c r="Y6" s="731" t="e">
        <f ca="1">IF(_xll.FDS(SEC_CODE,"WSF_DIV_RPT_FREQ(ANN,0)")="1","Quarterly",IF(_xll.FDS(SEC_CODE,"WSF_DIV_RPT_FREQ(ANN,0)")="2","Semi-Annual",IF(_xll.FDS(SEC_CODE,"WSF_DIV_RPT_FREQ(ANN,0)")="4","Annual","-")))</f>
        <v>#NAME?</v>
      </c>
      <c r="Z6" s="731"/>
      <c r="AA6" s="78" t="e">
        <f ca="1">IF(Y6="Quarterly",1,IF(Y6="Semi-Annual",2,4))</f>
        <v>#NAME?</v>
      </c>
      <c r="AB6" s="26"/>
      <c r="AC6" s="26"/>
      <c r="AD6" s="26"/>
      <c r="AE6" s="26"/>
      <c r="AF6" s="26"/>
      <c r="AG6" s="26"/>
      <c r="AH6" s="26"/>
      <c r="AI6" s="26"/>
      <c r="AJ6" s="26"/>
      <c r="AK6" s="26"/>
      <c r="AL6" s="26"/>
      <c r="AM6" s="26"/>
      <c r="AN6" s="26"/>
      <c r="AO6" s="26"/>
      <c r="AP6" s="26"/>
      <c r="AQ6" s="26"/>
      <c r="AR6" s="26"/>
      <c r="AS6" s="26"/>
      <c r="AT6" s="26"/>
      <c r="AU6" s="26"/>
      <c r="AV6" s="26"/>
      <c r="AW6" s="26"/>
      <c r="AX6" s="26"/>
      <c r="AY6" s="26"/>
      <c r="AZ6" s="26"/>
      <c r="BA6" s="26"/>
      <c r="BB6" s="26"/>
      <c r="BC6" s="26"/>
      <c r="BD6" s="26"/>
      <c r="BE6" s="26"/>
      <c r="BF6" s="26"/>
      <c r="BG6" s="26"/>
      <c r="BH6" s="26"/>
      <c r="BI6" s="26"/>
      <c r="BJ6" s="26"/>
      <c r="BK6" s="26"/>
      <c r="BL6" s="26"/>
      <c r="BM6" s="26"/>
      <c r="BN6" s="26"/>
      <c r="BO6" s="26"/>
      <c r="BP6" s="26"/>
      <c r="BQ6" s="26"/>
      <c r="BR6" s="26"/>
      <c r="BS6" s="26"/>
      <c r="BT6" s="26"/>
      <c r="BU6" s="26"/>
      <c r="BV6" s="26"/>
      <c r="BW6" s="26"/>
      <c r="BX6" s="26"/>
      <c r="BY6" s="26"/>
      <c r="BZ6" s="26"/>
      <c r="CA6" s="26"/>
    </row>
    <row r="7" spans="1:79" s="25" customFormat="1" ht="12" customHeight="1">
      <c r="A7" s="24"/>
      <c r="B7" s="69"/>
      <c r="C7" s="69"/>
      <c r="D7" s="69"/>
      <c r="E7" s="160"/>
      <c r="F7" s="230" t="str">
        <f>IF(VLOOKUP("3000,1",FS_DATA,3,0) &amp; ""="@NA","-",VLOOKUP("3000,1",FS_DATA,3,0) &amp; "")</f>
        <v>Materials</v>
      </c>
      <c r="G7" s="69"/>
      <c r="H7" s="69"/>
      <c r="I7" s="69"/>
      <c r="J7" s="69"/>
      <c r="K7" s="69"/>
      <c r="L7" s="69"/>
      <c r="N7" s="69"/>
      <c r="O7" s="248" t="s">
        <v>551</v>
      </c>
      <c r="P7" s="249"/>
      <c r="Q7" s="249"/>
      <c r="R7" s="250"/>
      <c r="S7" s="249"/>
      <c r="T7" s="727">
        <f ca="1">TODAY()-1</f>
        <v>43692</v>
      </c>
      <c r="U7" s="727"/>
      <c r="V7" s="727"/>
      <c r="W7" s="15"/>
      <c r="X7" s="79" t="s">
        <v>564</v>
      </c>
      <c r="Y7" s="79" t="e">
        <f ca="1">_xll.FDS($T$8,"P_EXCH_RATE(P_CURRENCY(""ISO""),"&amp;T12&amp;","&amp;$T$7&amp;")")</f>
        <v>#NAME?</v>
      </c>
      <c r="Z7" s="15"/>
      <c r="AA7" s="26"/>
      <c r="AB7" s="26"/>
      <c r="AC7" s="26"/>
      <c r="AD7" s="26"/>
      <c r="AE7" s="26"/>
      <c r="AF7" s="26"/>
      <c r="AG7" s="26"/>
      <c r="AH7" s="26"/>
      <c r="AI7" s="26"/>
      <c r="AJ7" s="26"/>
      <c r="AK7" s="26"/>
      <c r="AL7" s="26"/>
      <c r="AM7" s="26"/>
      <c r="AN7" s="26"/>
      <c r="AO7" s="26"/>
      <c r="AP7" s="26"/>
      <c r="AQ7" s="26"/>
      <c r="AR7" s="26"/>
      <c r="AS7" s="26"/>
      <c r="AT7" s="26"/>
      <c r="AU7" s="26"/>
      <c r="AV7" s="26"/>
      <c r="AW7" s="26"/>
      <c r="AX7" s="26"/>
      <c r="AY7" s="26"/>
      <c r="AZ7" s="26"/>
      <c r="BA7" s="26"/>
      <c r="BB7" s="26"/>
      <c r="BC7" s="26"/>
      <c r="BD7" s="26"/>
      <c r="BE7" s="26"/>
      <c r="BF7" s="26"/>
      <c r="BG7" s="26"/>
      <c r="BH7" s="26"/>
      <c r="BI7" s="26"/>
      <c r="BJ7" s="26"/>
      <c r="BK7" s="26"/>
      <c r="BL7" s="26"/>
      <c r="BM7" s="26"/>
      <c r="BN7" s="26"/>
      <c r="BO7" s="26"/>
      <c r="BP7" s="26"/>
      <c r="BQ7" s="26"/>
      <c r="BR7" s="26"/>
      <c r="BS7" s="26"/>
      <c r="BT7" s="26"/>
      <c r="BU7" s="26"/>
      <c r="BV7" s="26"/>
      <c r="BW7" s="26"/>
      <c r="BX7" s="26"/>
      <c r="BY7" s="26"/>
      <c r="BZ7" s="26"/>
      <c r="CA7" s="26"/>
    </row>
    <row r="8" spans="1:79" s="25" customFormat="1" ht="9.75" customHeight="1">
      <c r="A8" s="24"/>
      <c r="B8" s="69"/>
      <c r="C8" s="69"/>
      <c r="D8" s="69"/>
      <c r="E8" s="69"/>
      <c r="F8" s="69"/>
      <c r="G8" s="69"/>
      <c r="H8" s="69"/>
      <c r="I8" s="69"/>
      <c r="J8" s="69"/>
      <c r="K8" s="69"/>
      <c r="L8" s="69"/>
      <c r="N8" s="69"/>
      <c r="O8" s="248" t="s">
        <v>1</v>
      </c>
      <c r="P8" s="249"/>
      <c r="Q8" s="249"/>
      <c r="R8" s="250"/>
      <c r="S8" s="250"/>
      <c r="T8" s="711" t="str">
        <f>DL_SEC_CODE</f>
        <v>B0HZL93</v>
      </c>
      <c r="U8" s="711"/>
      <c r="V8" s="711"/>
      <c r="W8" s="15"/>
      <c r="Y8" s="26"/>
      <c r="Z8" s="15"/>
      <c r="AA8" s="26"/>
      <c r="AB8" s="26"/>
      <c r="AC8" s="26"/>
      <c r="AD8" s="26"/>
      <c r="AE8" s="26"/>
      <c r="AF8" s="26"/>
      <c r="AG8" s="26"/>
      <c r="AH8" s="26"/>
      <c r="AI8" s="26"/>
      <c r="AJ8" s="26"/>
      <c r="AK8" s="26"/>
      <c r="AL8" s="26"/>
      <c r="AM8" s="26"/>
      <c r="AN8" s="26"/>
      <c r="AO8" s="26"/>
      <c r="AP8" s="26"/>
      <c r="AQ8" s="26"/>
      <c r="AR8" s="26"/>
      <c r="AS8" s="26"/>
      <c r="AT8" s="26"/>
      <c r="AU8" s="26"/>
      <c r="AV8" s="26"/>
      <c r="AW8" s="26"/>
      <c r="AX8" s="26"/>
      <c r="AY8" s="26"/>
      <c r="AZ8" s="26"/>
      <c r="BA8" s="26"/>
      <c r="BB8" s="26"/>
      <c r="BC8" s="26"/>
      <c r="BD8" s="26"/>
      <c r="BE8" s="26"/>
      <c r="BF8" s="26"/>
      <c r="BG8" s="26"/>
      <c r="BH8" s="26"/>
      <c r="BI8" s="26"/>
      <c r="BJ8" s="26"/>
      <c r="BK8" s="26"/>
      <c r="BL8" s="26"/>
      <c r="BM8" s="26"/>
      <c r="BN8" s="26"/>
      <c r="BO8" s="26"/>
      <c r="BP8" s="26"/>
      <c r="BQ8" s="26"/>
      <c r="BR8" s="26"/>
      <c r="BS8" s="26"/>
      <c r="BT8" s="26"/>
      <c r="BU8" s="26"/>
      <c r="BV8" s="26"/>
      <c r="BW8" s="26"/>
      <c r="BX8" s="26"/>
      <c r="BY8" s="26"/>
      <c r="BZ8" s="26"/>
      <c r="CA8" s="26"/>
    </row>
    <row r="9" spans="1:79" s="25" customFormat="1" ht="12" customHeight="1">
      <c r="A9" s="24"/>
      <c r="B9" s="700" t="str">
        <f>BUS_DESCRIPTION_DUMMY</f>
        <v xml:space="preserve">Koninklijke DSM N.V. (Royal DSM) is a global science-based company, engaged in offering health, nutrition and materials. The Company's segments include Nutrition, Performance Materials, Innovation Center and Corporate Activities. Its Nutrition segment includes DSM Nutritional Products and DSM Food Specialties. Its Performance Materials segment consists of DSM Engineering Plastics, DSM Dyneema, and DSM Resins and Functional Materials. Its Innovation Center segment serves as an enabler and accelerator of innovation within DSM, as well as providing support to the clusters. Its Corporate Activities segment includes various holding companies and corporate overheads. The Corporate Activities segment includes Sitech Services. The Company delivers its solutions in global markets, such as food and dietary supplements, personal care, feed, medical devices, automotive, paints, electrical and electronics, life protection, alternative energy and bio-based materials.      </v>
      </c>
      <c r="C9" s="701"/>
      <c r="D9" s="701"/>
      <c r="E9" s="701"/>
      <c r="F9" s="701"/>
      <c r="G9" s="701"/>
      <c r="H9" s="701"/>
      <c r="I9" s="701"/>
      <c r="J9" s="701"/>
      <c r="K9" s="701"/>
      <c r="L9" s="701"/>
      <c r="M9" s="702"/>
      <c r="N9" s="72"/>
      <c r="O9" s="248" t="s">
        <v>21</v>
      </c>
      <c r="P9" s="249"/>
      <c r="Q9" s="249"/>
      <c r="R9" s="250"/>
      <c r="S9" s="250"/>
      <c r="T9" s="711" t="str">
        <f>IF(VLOOKUP("3002,1",FS_DATA,3,0)="@NA","",VLOOKUP("3002,1",FS_DATA,3,0))</f>
        <v>NL</v>
      </c>
      <c r="U9" s="711"/>
      <c r="V9" s="711"/>
      <c r="W9" s="15"/>
      <c r="X9" s="80" t="e">
        <f t="shared" ref="X9:X10" ca="1" si="0">EDATE(X10,-12)</f>
        <v>#NAME?</v>
      </c>
      <c r="Y9" s="80">
        <f t="shared" ref="Y9:Y12" si="1">EDATE(Y10,-12)</f>
        <v>41639</v>
      </c>
      <c r="Z9" s="15"/>
      <c r="AA9" s="26"/>
      <c r="AB9" s="26"/>
      <c r="AC9" s="26"/>
      <c r="AD9" s="26"/>
      <c r="AE9" s="26"/>
      <c r="AF9" s="26"/>
      <c r="AG9" s="26"/>
      <c r="AH9" s="26"/>
      <c r="AI9" s="26"/>
      <c r="AJ9" s="26"/>
      <c r="AK9" s="26"/>
      <c r="AL9" s="26"/>
      <c r="AM9" s="26"/>
      <c r="AN9" s="26"/>
      <c r="AO9" s="26"/>
      <c r="AP9" s="26"/>
      <c r="AQ9" s="26"/>
      <c r="AR9" s="26"/>
      <c r="AS9" s="26"/>
      <c r="AT9" s="26"/>
      <c r="AU9" s="26"/>
      <c r="AV9" s="26"/>
      <c r="AW9" s="26"/>
      <c r="AX9" s="26"/>
      <c r="AY9" s="26"/>
      <c r="AZ9" s="26"/>
      <c r="BA9" s="26"/>
      <c r="BB9" s="26"/>
      <c r="BC9" s="26"/>
      <c r="BD9" s="26"/>
      <c r="BE9" s="26"/>
      <c r="BF9" s="26"/>
      <c r="BG9" s="26"/>
      <c r="BH9" s="26"/>
      <c r="BI9" s="26"/>
      <c r="BJ9" s="26"/>
      <c r="BK9" s="26"/>
      <c r="BL9" s="26"/>
      <c r="BM9" s="26"/>
      <c r="BN9" s="26"/>
      <c r="BO9" s="26"/>
      <c r="BP9" s="26"/>
      <c r="BQ9" s="26"/>
      <c r="BR9" s="26"/>
      <c r="BS9" s="26"/>
      <c r="BT9" s="26"/>
      <c r="BU9" s="26"/>
      <c r="BV9" s="26"/>
      <c r="BW9" s="26"/>
      <c r="BX9" s="26"/>
      <c r="BY9" s="26"/>
      <c r="BZ9" s="26"/>
      <c r="CA9" s="26"/>
    </row>
    <row r="10" spans="1:79" s="25" customFormat="1" ht="12" customHeight="1">
      <c r="A10" s="24"/>
      <c r="B10" s="703"/>
      <c r="C10" s="704"/>
      <c r="D10" s="704"/>
      <c r="E10" s="704"/>
      <c r="F10" s="704"/>
      <c r="G10" s="704"/>
      <c r="H10" s="704"/>
      <c r="I10" s="704"/>
      <c r="J10" s="704"/>
      <c r="K10" s="704"/>
      <c r="L10" s="704"/>
      <c r="M10" s="705"/>
      <c r="N10" s="72"/>
      <c r="O10" s="248" t="s">
        <v>22</v>
      </c>
      <c r="P10" s="249"/>
      <c r="Q10" s="249"/>
      <c r="R10" s="250"/>
      <c r="S10" s="250"/>
      <c r="T10" s="712" t="str">
        <f>IF(VLOOKUP("3004,1",FS_DATA,3,0)="@NA","",VLOOKUP("3004,1",FS_DATA,3,0))</f>
        <v>Euronext Amsterdam</v>
      </c>
      <c r="U10" s="712"/>
      <c r="V10" s="712"/>
      <c r="W10" s="77"/>
      <c r="X10" s="80" t="e">
        <f t="shared" ca="1" si="0"/>
        <v>#NAME?</v>
      </c>
      <c r="Y10" s="80">
        <f t="shared" si="1"/>
        <v>42004</v>
      </c>
      <c r="Z10" s="15"/>
      <c r="AA10" s="59"/>
      <c r="AB10" s="26"/>
      <c r="AC10" s="26"/>
      <c r="AD10" s="26"/>
      <c r="AE10" s="26"/>
      <c r="AF10" s="26"/>
      <c r="AG10" s="26"/>
      <c r="AH10" s="26"/>
      <c r="AI10" s="26"/>
      <c r="AJ10" s="26"/>
      <c r="AK10" s="26"/>
      <c r="AL10" s="26"/>
      <c r="AM10" s="26"/>
      <c r="AN10" s="26"/>
      <c r="AO10" s="26"/>
      <c r="AP10" s="26"/>
      <c r="AQ10" s="26"/>
      <c r="AR10" s="26"/>
      <c r="AS10" s="26"/>
      <c r="AT10" s="26"/>
      <c r="AU10" s="26"/>
      <c r="AV10" s="26"/>
      <c r="AW10" s="26"/>
      <c r="AX10" s="26"/>
      <c r="AY10" s="26"/>
      <c r="AZ10" s="26"/>
      <c r="BA10" s="26"/>
      <c r="BB10" s="26"/>
      <c r="BC10" s="26"/>
      <c r="BD10" s="26"/>
      <c r="BE10" s="26"/>
      <c r="BF10" s="26"/>
      <c r="BG10" s="26"/>
      <c r="BH10" s="26"/>
      <c r="BI10" s="26"/>
      <c r="BJ10" s="26"/>
      <c r="BK10" s="26"/>
      <c r="BL10" s="26"/>
      <c r="BM10" s="26"/>
      <c r="BN10" s="26"/>
      <c r="BO10" s="26"/>
      <c r="BP10" s="26"/>
      <c r="BQ10" s="26"/>
      <c r="BR10" s="26"/>
      <c r="BS10" s="26"/>
      <c r="BT10" s="26"/>
      <c r="BU10" s="26"/>
      <c r="BV10" s="26"/>
      <c r="BW10" s="26"/>
      <c r="BX10" s="26"/>
      <c r="BY10" s="26"/>
      <c r="BZ10" s="26"/>
      <c r="CA10" s="26"/>
    </row>
    <row r="11" spans="1:79" s="25" customFormat="1" ht="12" customHeight="1">
      <c r="A11" s="24"/>
      <c r="B11" s="703"/>
      <c r="C11" s="704"/>
      <c r="D11" s="704"/>
      <c r="E11" s="704"/>
      <c r="F11" s="704"/>
      <c r="G11" s="704"/>
      <c r="H11" s="704"/>
      <c r="I11" s="704"/>
      <c r="J11" s="704"/>
      <c r="K11" s="704"/>
      <c r="L11" s="704"/>
      <c r="M11" s="705"/>
      <c r="N11" s="72"/>
      <c r="O11" s="251" t="s">
        <v>552</v>
      </c>
      <c r="P11" s="252"/>
      <c r="Q11" s="252"/>
      <c r="R11" s="253"/>
      <c r="S11" s="253"/>
      <c r="T11" s="713" t="str">
        <f>VLOOKUP("53,1",FS_DATA,3,0)</f>
        <v>EUR</v>
      </c>
      <c r="U11" s="713"/>
      <c r="V11" s="713"/>
      <c r="W11" s="15"/>
      <c r="X11" s="81" t="e">
        <f ca="1">EDATE(X12,-12)</f>
        <v>#NAME?</v>
      </c>
      <c r="Y11" s="80">
        <f t="shared" si="1"/>
        <v>42369</v>
      </c>
      <c r="Z11" s="15"/>
      <c r="AA11" s="26"/>
      <c r="AB11" s="26"/>
      <c r="AC11" s="26"/>
      <c r="AD11" s="26"/>
      <c r="AE11" s="26"/>
      <c r="AF11" s="26"/>
      <c r="AG11" s="26"/>
      <c r="AH11" s="26"/>
      <c r="AI11" s="26"/>
      <c r="AJ11" s="26"/>
      <c r="AK11" s="26"/>
      <c r="AL11" s="26"/>
      <c r="AM11" s="26"/>
      <c r="AN11" s="26"/>
      <c r="AO11" s="26"/>
      <c r="AP11" s="26"/>
      <c r="AQ11" s="26"/>
      <c r="AR11" s="26"/>
      <c r="AS11" s="26"/>
      <c r="AT11" s="26"/>
      <c r="AU11" s="26"/>
      <c r="AV11" s="26"/>
      <c r="AW11" s="26"/>
      <c r="AX11" s="26"/>
      <c r="AY11" s="26"/>
      <c r="AZ11" s="26"/>
      <c r="BA11" s="26"/>
      <c r="BB11" s="26"/>
      <c r="BC11" s="26"/>
      <c r="BD11" s="26"/>
      <c r="BE11" s="26"/>
      <c r="BF11" s="26"/>
      <c r="BG11" s="26"/>
      <c r="BH11" s="26"/>
      <c r="BI11" s="26"/>
      <c r="BJ11" s="26"/>
      <c r="BK11" s="26"/>
      <c r="BL11" s="26"/>
      <c r="BM11" s="26"/>
      <c r="BN11" s="26"/>
      <c r="BO11" s="26"/>
      <c r="BP11" s="26"/>
      <c r="BQ11" s="26"/>
      <c r="BR11" s="26"/>
      <c r="BS11" s="26"/>
      <c r="BT11" s="26"/>
      <c r="BU11" s="26"/>
      <c r="BV11" s="26"/>
      <c r="BW11" s="26"/>
      <c r="BX11" s="26"/>
      <c r="BY11" s="26"/>
      <c r="BZ11" s="26"/>
      <c r="CA11" s="26"/>
    </row>
    <row r="12" spans="1:79" s="25" customFormat="1" ht="12" customHeight="1">
      <c r="A12" s="24"/>
      <c r="B12" s="703"/>
      <c r="C12" s="704"/>
      <c r="D12" s="704"/>
      <c r="E12" s="704"/>
      <c r="F12" s="704"/>
      <c r="G12" s="704"/>
      <c r="H12" s="704"/>
      <c r="I12" s="704"/>
      <c r="J12" s="704"/>
      <c r="K12" s="704"/>
      <c r="L12" s="704"/>
      <c r="M12" s="705"/>
      <c r="N12" s="72"/>
      <c r="O12" s="251" t="s">
        <v>554</v>
      </c>
      <c r="P12" s="254"/>
      <c r="Q12" s="254"/>
      <c r="R12" s="254"/>
      <c r="S12" s="254"/>
      <c r="T12" s="728" t="e">
        <f ca="1">_xll.FDS($T$8,"AVAIL(WSF_CURN_DOC(ANN_R,0),IC_CURRENCY_ISO)")</f>
        <v>#NAME?</v>
      </c>
      <c r="U12" s="728"/>
      <c r="V12" s="728" t="e">
        <f ca="1">_xll.FDS($T$8,"WSF_CURN_DOC(ANN_R,"&amp;Y25&amp;")")</f>
        <v>#NAME?</v>
      </c>
      <c r="W12" s="15"/>
      <c r="X12" s="80" t="e">
        <f ca="1">EDATE(X13,-12)</f>
        <v>#NAME?</v>
      </c>
      <c r="Y12" s="80">
        <f t="shared" si="1"/>
        <v>42735</v>
      </c>
      <c r="Z12" s="15"/>
      <c r="AA12" s="26"/>
      <c r="AB12" s="26"/>
      <c r="AC12" s="26"/>
      <c r="AD12" s="26"/>
      <c r="AE12" s="26"/>
      <c r="AF12" s="26"/>
      <c r="AG12" s="26"/>
      <c r="AH12" s="26"/>
      <c r="AI12" s="26"/>
      <c r="AJ12" s="26"/>
      <c r="AK12" s="26"/>
      <c r="AL12" s="26"/>
      <c r="AM12" s="26"/>
      <c r="AN12" s="26"/>
      <c r="AO12" s="26"/>
      <c r="AP12" s="26"/>
      <c r="AQ12" s="26"/>
      <c r="AR12" s="26"/>
      <c r="AS12" s="26"/>
      <c r="AT12" s="26"/>
      <c r="AU12" s="26"/>
      <c r="AV12" s="26"/>
      <c r="AW12" s="26"/>
      <c r="AX12" s="26"/>
      <c r="AY12" s="26"/>
      <c r="AZ12" s="26"/>
      <c r="BA12" s="26"/>
      <c r="BB12" s="26"/>
      <c r="BC12" s="26"/>
      <c r="BD12" s="26"/>
      <c r="BE12" s="26"/>
      <c r="BF12" s="26"/>
      <c r="BG12" s="26"/>
      <c r="BH12" s="26"/>
      <c r="BI12" s="26"/>
      <c r="BJ12" s="26"/>
      <c r="BK12" s="26"/>
      <c r="BL12" s="26"/>
      <c r="BM12" s="26"/>
      <c r="BN12" s="26"/>
      <c r="BO12" s="26"/>
      <c r="BP12" s="26"/>
      <c r="BQ12" s="26"/>
      <c r="BR12" s="26"/>
      <c r="BS12" s="26"/>
      <c r="BT12" s="26"/>
      <c r="BU12" s="26"/>
      <c r="BV12" s="26"/>
      <c r="BW12" s="26"/>
      <c r="BX12" s="26"/>
      <c r="BY12" s="26"/>
      <c r="BZ12" s="26"/>
      <c r="CA12" s="26"/>
    </row>
    <row r="13" spans="1:79" s="25" customFormat="1" ht="12" customHeight="1">
      <c r="A13" s="24"/>
      <c r="B13" s="703"/>
      <c r="C13" s="704"/>
      <c r="D13" s="704"/>
      <c r="E13" s="704"/>
      <c r="F13" s="704"/>
      <c r="G13" s="704"/>
      <c r="H13" s="704"/>
      <c r="I13" s="704"/>
      <c r="J13" s="704"/>
      <c r="K13" s="704"/>
      <c r="L13" s="704"/>
      <c r="M13" s="705"/>
      <c r="N13" s="72"/>
      <c r="O13" s="251" t="s">
        <v>553</v>
      </c>
      <c r="P13" s="252"/>
      <c r="Q13" s="252"/>
      <c r="R13" s="253"/>
      <c r="S13" s="253"/>
      <c r="T13" s="690" t="e">
        <f ca="1">_xll.FDS(SEC_CODE,"P_PRICE("&amp;T7&amp;")")</f>
        <v>#NAME?</v>
      </c>
      <c r="U13" s="690"/>
      <c r="V13" s="690"/>
      <c r="W13" s="15"/>
      <c r="X13" s="80" t="e">
        <f ca="1">EDATE(X14,-12)</f>
        <v>#NAME?</v>
      </c>
      <c r="Y13" s="80">
        <f>EDATE(Y14,-12)</f>
        <v>43100</v>
      </c>
      <c r="Z13" s="15"/>
      <c r="AA13" s="26"/>
      <c r="AB13" s="26"/>
      <c r="AC13" s="26"/>
      <c r="AD13" s="26"/>
      <c r="AE13" s="26"/>
      <c r="AF13" s="26"/>
      <c r="AG13" s="26"/>
      <c r="AH13" s="26"/>
      <c r="AI13" s="26"/>
      <c r="AJ13" s="26"/>
      <c r="AK13" s="26"/>
      <c r="AL13" s="26"/>
      <c r="AM13" s="26"/>
      <c r="AN13" s="26"/>
      <c r="AO13" s="26"/>
      <c r="AP13" s="26"/>
      <c r="AQ13" s="26"/>
      <c r="AR13" s="26"/>
      <c r="AS13" s="26"/>
      <c r="AT13" s="26"/>
      <c r="AU13" s="26"/>
      <c r="AV13" s="26"/>
      <c r="AW13" s="26"/>
      <c r="AX13" s="26"/>
      <c r="AY13" s="26"/>
      <c r="AZ13" s="26"/>
      <c r="BA13" s="26"/>
      <c r="BB13" s="26"/>
      <c r="BC13" s="26"/>
      <c r="BD13" s="26"/>
      <c r="BE13" s="26"/>
      <c r="BF13" s="26"/>
      <c r="BG13" s="26"/>
      <c r="BH13" s="26"/>
      <c r="BI13" s="26"/>
      <c r="BJ13" s="26"/>
      <c r="BK13" s="26"/>
      <c r="BL13" s="26"/>
      <c r="BM13" s="26"/>
      <c r="BN13" s="26"/>
      <c r="BO13" s="26"/>
      <c r="BP13" s="26"/>
      <c r="BQ13" s="26"/>
      <c r="BR13" s="26"/>
      <c r="BS13" s="26"/>
      <c r="BT13" s="26"/>
      <c r="BU13" s="26"/>
      <c r="BV13" s="26"/>
      <c r="BW13" s="26"/>
      <c r="BX13" s="26"/>
      <c r="BY13" s="26"/>
      <c r="BZ13" s="26"/>
      <c r="CA13" s="26"/>
    </row>
    <row r="14" spans="1:79" s="25" customFormat="1" ht="12" customHeight="1">
      <c r="A14" s="24"/>
      <c r="B14" s="703"/>
      <c r="C14" s="704"/>
      <c r="D14" s="704"/>
      <c r="E14" s="704"/>
      <c r="F14" s="704"/>
      <c r="G14" s="704"/>
      <c r="H14" s="704"/>
      <c r="I14" s="704"/>
      <c r="J14" s="704"/>
      <c r="K14" s="704"/>
      <c r="L14" s="704"/>
      <c r="M14" s="705"/>
      <c r="N14" s="72"/>
      <c r="O14" s="251" t="s">
        <v>560</v>
      </c>
      <c r="P14" s="252"/>
      <c r="Q14" s="252"/>
      <c r="R14" s="253"/>
      <c r="S14" s="253"/>
      <c r="T14" s="691" t="e">
        <f ca="1">PRICE*_xll.FDS($T$8,"P_EXCH_RATE(P_CURRENCY(""ISO""),"&amp;T12&amp;","&amp;$T$7&amp;")")</f>
        <v>#NAME?</v>
      </c>
      <c r="U14" s="691"/>
      <c r="V14" s="691"/>
      <c r="W14" s="15"/>
      <c r="X14" s="80" t="e">
        <f ca="1">IF(_xll.FDS(SEC_CODE,"ISAV(AVAIL(WSF_FISCAL_DATE(ANN,0,,,RP,""DATEI""),CONVERT_DATE(ICA_FISCAL_YR_ACT,""DD/MM/YYYY"")))" )=0,Y14,DATE(RIGHT(_xll.FDS(SEC_CODE,"AVAIL(WSF_FISCAL_DATE(ANN,0,,,RP,""DATEI""),CONVERT_DATE(ICA_FISCAL_YR_ACT,""DD/MM/YYYY""))" ),4),RIGHT(LEFT(_xll.FDS(SEC_CODE,"AVAIL(WSF_FISCAL_DATE(ANN,0,,,RP,""DATEI""),CONVERT_DATE(ICA_FISCAL_YR_ACT,""DD/MM/YYYY""))" ),5),2),LEFT(_xll.FDS(SEC_CODE,"AVAIL(WSF_FISCAL_DATE(ANN,0,,,RP,""DATEI""),CONVERT_DATE(ICA_FISCAL_YR_ACT,""DD/MM/YYYY""))" ),2)))</f>
        <v>#NAME?</v>
      </c>
      <c r="Y14" s="80">
        <f>IF(DL_FISCAL_YEAR_END="",T6,DL_FISCAL_YEAR_END)</f>
        <v>43465</v>
      </c>
      <c r="Z14" s="15"/>
      <c r="AA14" s="26"/>
      <c r="AB14" s="26"/>
      <c r="AC14" s="26"/>
      <c r="AD14" s="26"/>
      <c r="AE14" s="26"/>
      <c r="AF14" s="26"/>
      <c r="AG14" s="26"/>
      <c r="AH14" s="26"/>
      <c r="AI14" s="26"/>
      <c r="AJ14" s="26"/>
      <c r="AK14" s="26"/>
      <c r="AL14" s="26"/>
      <c r="AM14" s="26"/>
      <c r="AN14" s="26"/>
      <c r="AO14" s="26"/>
      <c r="AP14" s="26"/>
      <c r="AQ14" s="26"/>
      <c r="AR14" s="26"/>
      <c r="AS14" s="26"/>
      <c r="AT14" s="26"/>
      <c r="AU14" s="26"/>
      <c r="AV14" s="26"/>
      <c r="AW14" s="26"/>
      <c r="AX14" s="26"/>
      <c r="AY14" s="26"/>
      <c r="AZ14" s="26"/>
      <c r="BA14" s="26"/>
      <c r="BB14" s="26"/>
      <c r="BC14" s="26"/>
      <c r="BD14" s="26"/>
      <c r="BE14" s="26"/>
      <c r="BF14" s="26"/>
      <c r="BG14" s="26"/>
      <c r="BH14" s="26"/>
      <c r="BI14" s="26"/>
      <c r="BJ14" s="26"/>
      <c r="BK14" s="26"/>
      <c r="BL14" s="26"/>
      <c r="BM14" s="26"/>
      <c r="BN14" s="26"/>
      <c r="BO14" s="26"/>
      <c r="BP14" s="26"/>
      <c r="BQ14" s="26"/>
      <c r="BR14" s="26"/>
      <c r="BS14" s="26"/>
      <c r="BT14" s="26"/>
      <c r="BU14" s="26"/>
      <c r="BV14" s="26"/>
      <c r="BW14" s="26"/>
      <c r="BX14" s="26"/>
      <c r="BY14" s="26"/>
      <c r="BZ14" s="26"/>
      <c r="CA14" s="26"/>
    </row>
    <row r="15" spans="1:79" s="25" customFormat="1" ht="12" customHeight="1">
      <c r="A15" s="24"/>
      <c r="B15" s="703"/>
      <c r="C15" s="704"/>
      <c r="D15" s="704"/>
      <c r="E15" s="704"/>
      <c r="F15" s="704"/>
      <c r="G15" s="704"/>
      <c r="H15" s="704"/>
      <c r="I15" s="704"/>
      <c r="J15" s="704"/>
      <c r="K15" s="704"/>
      <c r="L15" s="704"/>
      <c r="M15" s="705"/>
      <c r="N15" s="72"/>
      <c r="O15" s="251" t="s">
        <v>547</v>
      </c>
      <c r="P15" s="252"/>
      <c r="Q15" s="252"/>
      <c r="R15" s="253"/>
      <c r="S15" s="253"/>
      <c r="T15" s="692" t="e">
        <f ca="1">SELL_TARGET_REPORTING_CCY*_xll.FDS($T$8,"P_EXCH_RATE("&amp;T12&amp;",P_CURRENCY(""ISO""),"&amp;$T$7&amp;")")*(1+IF(ISERROR(VLOOKUP(EOMONTH(PRICE_DATE,-1)&amp;$T$11,[1]Sheet1!B$2:F$1048576,5,FALSE/100)),IF(ISERROR(VLOOKUP(EOMONTH(PRICE_DATE,-2)&amp;$T$11,[1]Sheet1!B$2:F$1048576,5,FALSE)/100),"-",VLOOKUP(EOMONTH(PRICE_DATE,-2)&amp;$T$11,[1]Sheet1!B$2:F$1048576,5,FALSE)/100),VLOOKUP(EOMONTH(PRICE_DATE,-1)&amp;$T$11,[1]Sheet1!B$2:F$1048576,5,FALSE)/100))/(1+IF(ISERROR(VLOOKUP(EOMONTH(PRICE_DATE,-1)&amp;$T$12,[1]Sheet1!B$2:F$1048576,5,FALSE/100)),IF(ISERROR(VLOOKUP(EOMONTH(PRICE_DATE,-2)&amp;$T$12,[1]Sheet1!B$2:F$1048576,5,FALSE)/100),"-",VLOOKUP(EOMONTH(PRICE_DATE,-2)&amp;$T$12,[1]Sheet1!B$2:F$1048576,5,FALSE)/100),VLOOKUP(EOMONTH(PRICE_DATE,-1)&amp;$T$12,[1]Sheet1!B$2:F$1048576,5,FALSE)/100))</f>
        <v>#NAME?</v>
      </c>
      <c r="U15" s="692"/>
      <c r="V15" s="692"/>
      <c r="W15" s="82"/>
      <c r="X15" s="80" t="e">
        <f t="shared" ref="X15:Y21" ca="1" si="2">EDATE(X14,12)</f>
        <v>#NAME?</v>
      </c>
      <c r="Y15" s="80">
        <f t="shared" si="2"/>
        <v>43830</v>
      </c>
      <c r="Z15" s="15"/>
      <c r="AA15" s="59"/>
      <c r="AB15" s="26"/>
      <c r="AC15" s="26"/>
      <c r="AD15" s="26"/>
      <c r="AE15" s="26"/>
      <c r="AF15" s="26"/>
      <c r="AG15" s="26"/>
      <c r="AH15" s="26"/>
      <c r="AI15" s="26"/>
      <c r="AJ15" s="26"/>
      <c r="AK15" s="26"/>
      <c r="AL15" s="26"/>
      <c r="AM15" s="26"/>
      <c r="AN15" s="26"/>
      <c r="AO15" s="26"/>
      <c r="AP15" s="26"/>
      <c r="AQ15" s="26"/>
      <c r="AR15" s="26"/>
      <c r="AS15" s="26"/>
      <c r="AT15" s="26"/>
      <c r="AU15" s="26"/>
      <c r="AV15" s="26"/>
      <c r="AW15" s="26"/>
      <c r="AX15" s="26"/>
      <c r="AY15" s="26"/>
      <c r="AZ15" s="26"/>
      <c r="BA15" s="26"/>
      <c r="BB15" s="26"/>
      <c r="BC15" s="26"/>
      <c r="BD15" s="26"/>
      <c r="BE15" s="26"/>
      <c r="BF15" s="26"/>
      <c r="BG15" s="26"/>
      <c r="BH15" s="26"/>
      <c r="BI15" s="26"/>
      <c r="BJ15" s="26"/>
      <c r="BK15" s="26"/>
      <c r="BL15" s="26"/>
      <c r="BM15" s="26"/>
      <c r="BN15" s="26"/>
      <c r="BO15" s="26"/>
      <c r="BP15" s="26"/>
      <c r="BQ15" s="26"/>
      <c r="BR15" s="26"/>
      <c r="BS15" s="26"/>
      <c r="BT15" s="26"/>
      <c r="BU15" s="26"/>
      <c r="BV15" s="26"/>
      <c r="BW15" s="26"/>
      <c r="BX15" s="26"/>
      <c r="BY15" s="26"/>
      <c r="BZ15" s="26"/>
      <c r="CA15" s="26"/>
    </row>
    <row r="16" spans="1:79" s="25" customFormat="1" ht="12" customHeight="1">
      <c r="A16" s="24"/>
      <c r="B16" s="703"/>
      <c r="C16" s="704"/>
      <c r="D16" s="704"/>
      <c r="E16" s="704"/>
      <c r="F16" s="704"/>
      <c r="G16" s="704"/>
      <c r="H16" s="704"/>
      <c r="I16" s="704"/>
      <c r="J16" s="704"/>
      <c r="K16" s="704"/>
      <c r="L16" s="704"/>
      <c r="M16" s="705"/>
      <c r="N16" s="72"/>
      <c r="O16" s="251" t="s">
        <v>548</v>
      </c>
      <c r="P16" s="252"/>
      <c r="Q16" s="252"/>
      <c r="R16" s="253"/>
      <c r="S16" s="253"/>
      <c r="T16" s="692" t="e">
        <f ca="1">BARINGS_12M_TARGET_SELL_PRICE</f>
        <v>#NAME?</v>
      </c>
      <c r="U16" s="692"/>
      <c r="V16" s="692"/>
      <c r="W16" s="15"/>
      <c r="X16" s="80" t="e">
        <f t="shared" ca="1" si="2"/>
        <v>#NAME?</v>
      </c>
      <c r="Y16" s="80">
        <f t="shared" si="2"/>
        <v>44196</v>
      </c>
      <c r="Z16" s="15"/>
      <c r="AA16" s="26"/>
      <c r="AB16" s="26"/>
      <c r="AC16" s="26"/>
      <c r="AD16" s="26"/>
      <c r="AE16" s="26"/>
      <c r="AF16" s="26"/>
      <c r="AG16" s="26"/>
      <c r="AH16" s="26"/>
      <c r="AI16" s="26"/>
      <c r="AJ16" s="26"/>
      <c r="AK16" s="26"/>
      <c r="AL16" s="26"/>
      <c r="AM16" s="26"/>
      <c r="AN16" s="26"/>
      <c r="AO16" s="26"/>
      <c r="AP16" s="26"/>
      <c r="AQ16" s="26"/>
      <c r="AR16" s="26"/>
      <c r="AS16" s="26"/>
      <c r="AT16" s="26"/>
      <c r="AU16" s="26"/>
      <c r="AV16" s="26"/>
      <c r="AW16" s="26"/>
      <c r="AX16" s="26"/>
      <c r="AY16" s="26"/>
      <c r="AZ16" s="26"/>
      <c r="BA16" s="26"/>
      <c r="BB16" s="26"/>
      <c r="BC16" s="26"/>
      <c r="BD16" s="26"/>
      <c r="BE16" s="26"/>
      <c r="BF16" s="26"/>
      <c r="BG16" s="26"/>
      <c r="BH16" s="26"/>
      <c r="BI16" s="26"/>
      <c r="BJ16" s="26"/>
      <c r="BK16" s="26"/>
      <c r="BL16" s="26"/>
      <c r="BM16" s="26"/>
      <c r="BN16" s="26"/>
      <c r="BO16" s="26"/>
      <c r="BP16" s="26"/>
      <c r="BQ16" s="26"/>
      <c r="BR16" s="26"/>
      <c r="BS16" s="26"/>
      <c r="BT16" s="26"/>
      <c r="BU16" s="26"/>
      <c r="BV16" s="26"/>
      <c r="BW16" s="26"/>
      <c r="BX16" s="26"/>
      <c r="BY16" s="26"/>
      <c r="BZ16" s="26"/>
      <c r="CA16" s="26"/>
    </row>
    <row r="17" spans="1:79" s="25" customFormat="1" ht="12" customHeight="1">
      <c r="A17" s="24"/>
      <c r="B17" s="703"/>
      <c r="C17" s="704"/>
      <c r="D17" s="704"/>
      <c r="E17" s="704"/>
      <c r="F17" s="704"/>
      <c r="G17" s="704"/>
      <c r="H17" s="704"/>
      <c r="I17" s="704"/>
      <c r="J17" s="704"/>
      <c r="K17" s="704"/>
      <c r="L17" s="704"/>
      <c r="M17" s="705"/>
      <c r="N17" s="72"/>
      <c r="O17" s="251" t="s">
        <v>549</v>
      </c>
      <c r="P17" s="252"/>
      <c r="Q17" s="252"/>
      <c r="R17" s="253"/>
      <c r="S17" s="253"/>
      <c r="T17" s="709" t="e">
        <f ca="1">IF(OR(T13="",T15="",T13=0),"",(T15-T13)/T13)</f>
        <v>#NAME?</v>
      </c>
      <c r="U17" s="709"/>
      <c r="V17" s="709"/>
      <c r="W17" s="15"/>
      <c r="X17" s="80" t="e">
        <f t="shared" ca="1" si="2"/>
        <v>#NAME?</v>
      </c>
      <c r="Y17" s="80">
        <f t="shared" si="2"/>
        <v>44561</v>
      </c>
      <c r="Z17" s="15"/>
      <c r="AA17" s="26"/>
      <c r="AB17" s="26"/>
      <c r="AC17" s="26"/>
      <c r="AD17" s="26"/>
      <c r="AE17" s="26"/>
      <c r="AF17" s="26"/>
      <c r="AG17" s="26"/>
      <c r="AH17" s="26"/>
      <c r="AI17" s="26"/>
      <c r="AJ17" s="26"/>
      <c r="AK17" s="26"/>
      <c r="AL17" s="26"/>
      <c r="AM17" s="26"/>
      <c r="AN17" s="26"/>
      <c r="AO17" s="26"/>
      <c r="AP17" s="26"/>
      <c r="AQ17" s="26"/>
      <c r="AR17" s="26"/>
      <c r="AS17" s="26"/>
      <c r="AT17" s="26"/>
      <c r="AU17" s="26"/>
      <c r="AV17" s="26"/>
      <c r="AW17" s="26"/>
      <c r="AX17" s="26"/>
      <c r="AY17" s="26"/>
      <c r="AZ17" s="26"/>
      <c r="BA17" s="26"/>
      <c r="BB17" s="26"/>
      <c r="BC17" s="26"/>
      <c r="BD17" s="26"/>
      <c r="BE17" s="26"/>
      <c r="BF17" s="26"/>
      <c r="BG17" s="26"/>
      <c r="BH17" s="26"/>
      <c r="BI17" s="26"/>
      <c r="BJ17" s="26"/>
      <c r="BK17" s="26"/>
      <c r="BL17" s="26"/>
      <c r="BM17" s="26"/>
      <c r="BN17" s="26"/>
      <c r="BO17" s="26"/>
      <c r="BP17" s="26"/>
      <c r="BQ17" s="26"/>
      <c r="BR17" s="26"/>
      <c r="BS17" s="26"/>
      <c r="BT17" s="26"/>
      <c r="BU17" s="26"/>
      <c r="BV17" s="26"/>
      <c r="BW17" s="26"/>
      <c r="BX17" s="26"/>
      <c r="BY17" s="26"/>
      <c r="BZ17" s="26"/>
      <c r="CA17" s="26"/>
    </row>
    <row r="18" spans="1:79" s="25" customFormat="1" ht="12" customHeight="1">
      <c r="A18" s="24"/>
      <c r="B18" s="703"/>
      <c r="C18" s="704"/>
      <c r="D18" s="704"/>
      <c r="E18" s="704"/>
      <c r="F18" s="704"/>
      <c r="G18" s="704"/>
      <c r="H18" s="704"/>
      <c r="I18" s="704"/>
      <c r="J18" s="704"/>
      <c r="K18" s="704"/>
      <c r="L18" s="704"/>
      <c r="M18" s="705"/>
      <c r="N18" s="72"/>
      <c r="O18" s="251" t="s">
        <v>550</v>
      </c>
      <c r="P18" s="252"/>
      <c r="Q18" s="252"/>
      <c r="R18" s="253"/>
      <c r="S18" s="253"/>
      <c r="T18" s="709" t="e">
        <f ca="1">IF(OR(T14="",T16="",T14=0),"",(T16-T14)/T14)</f>
        <v>#NAME?</v>
      </c>
      <c r="U18" s="709"/>
      <c r="V18" s="709"/>
      <c r="W18" s="15"/>
      <c r="X18" s="80" t="e">
        <f t="shared" ca="1" si="2"/>
        <v>#NAME?</v>
      </c>
      <c r="Y18" s="80">
        <f t="shared" si="2"/>
        <v>44926</v>
      </c>
      <c r="Z18" s="15"/>
      <c r="AA18" s="26"/>
      <c r="AB18" s="26"/>
      <c r="AC18" s="26"/>
      <c r="AD18" s="26"/>
      <c r="AE18" s="26"/>
      <c r="AF18" s="26"/>
      <c r="AG18" s="26"/>
      <c r="AH18" s="26"/>
      <c r="AI18" s="26"/>
      <c r="AJ18" s="26"/>
      <c r="AK18" s="26"/>
      <c r="AL18" s="26"/>
      <c r="AM18" s="26"/>
      <c r="AN18" s="26"/>
      <c r="AO18" s="26"/>
      <c r="AP18" s="26"/>
      <c r="AQ18" s="26"/>
      <c r="AR18" s="26"/>
      <c r="AS18" s="26"/>
      <c r="AT18" s="26"/>
      <c r="AU18" s="26"/>
      <c r="AV18" s="26"/>
      <c r="AW18" s="26"/>
      <c r="AX18" s="26"/>
      <c r="AY18" s="26"/>
      <c r="AZ18" s="26"/>
      <c r="BA18" s="26"/>
      <c r="BB18" s="26"/>
      <c r="BC18" s="26"/>
      <c r="BD18" s="26"/>
      <c r="BE18" s="26"/>
      <c r="BF18" s="26"/>
      <c r="BG18" s="26"/>
      <c r="BH18" s="26"/>
      <c r="BI18" s="26"/>
      <c r="BJ18" s="26"/>
      <c r="BK18" s="26"/>
      <c r="BL18" s="26"/>
      <c r="BM18" s="26"/>
      <c r="BN18" s="26"/>
      <c r="BO18" s="26"/>
      <c r="BP18" s="26"/>
      <c r="BQ18" s="26"/>
      <c r="BR18" s="26"/>
      <c r="BS18" s="26"/>
      <c r="BT18" s="26"/>
      <c r="BU18" s="26"/>
      <c r="BV18" s="26"/>
      <c r="BW18" s="26"/>
      <c r="BX18" s="26"/>
      <c r="BY18" s="26"/>
      <c r="BZ18" s="26"/>
      <c r="CA18" s="26"/>
    </row>
    <row r="19" spans="1:79" s="25" customFormat="1" ht="12" customHeight="1">
      <c r="A19" s="24"/>
      <c r="B19" s="703"/>
      <c r="C19" s="704"/>
      <c r="D19" s="704"/>
      <c r="E19" s="704"/>
      <c r="F19" s="704"/>
      <c r="G19" s="704"/>
      <c r="H19" s="704"/>
      <c r="I19" s="704"/>
      <c r="J19" s="704"/>
      <c r="K19" s="704"/>
      <c r="L19" s="704"/>
      <c r="M19" s="705"/>
      <c r="N19" s="72"/>
      <c r="O19" s="251" t="s">
        <v>23</v>
      </c>
      <c r="P19" s="252"/>
      <c r="Q19" s="252"/>
      <c r="R19" s="253"/>
      <c r="S19" s="253"/>
      <c r="T19" s="710" t="e">
        <f ca="1">_xll.FDS(SEC_CODE,"P_MARKET_VAL("&amp;$T$7&amp;",,,WSF_CURN_DOC)")</f>
        <v>#NAME?</v>
      </c>
      <c r="U19" s="710"/>
      <c r="V19" s="710"/>
      <c r="W19" s="69"/>
      <c r="X19" s="80" t="e">
        <f t="shared" ca="1" si="2"/>
        <v>#NAME?</v>
      </c>
      <c r="Y19" s="80">
        <f t="shared" si="2"/>
        <v>45291</v>
      </c>
      <c r="Z19" s="26"/>
      <c r="AA19" s="26"/>
      <c r="AB19" s="26"/>
      <c r="AC19" s="26"/>
      <c r="AD19" s="26"/>
      <c r="AE19" s="26"/>
      <c r="AF19" s="26"/>
      <c r="AG19" s="26"/>
      <c r="AH19" s="26"/>
      <c r="AI19" s="26"/>
      <c r="AJ19" s="26"/>
      <c r="AK19" s="26"/>
      <c r="AL19" s="26"/>
      <c r="AM19" s="26"/>
      <c r="AN19" s="26"/>
      <c r="AO19" s="26"/>
      <c r="AP19" s="26"/>
      <c r="AQ19" s="26"/>
      <c r="AR19" s="26"/>
      <c r="AS19" s="26"/>
      <c r="AT19" s="26"/>
      <c r="AU19" s="26"/>
      <c r="AV19" s="26"/>
      <c r="AW19" s="26"/>
      <c r="AX19" s="26"/>
      <c r="AY19" s="26"/>
      <c r="AZ19" s="26"/>
      <c r="BA19" s="26"/>
      <c r="BB19" s="26"/>
      <c r="BC19" s="26"/>
      <c r="BD19" s="26"/>
      <c r="BE19" s="26"/>
      <c r="BF19" s="26"/>
      <c r="BG19" s="26"/>
      <c r="BH19" s="26"/>
      <c r="BI19" s="26"/>
      <c r="BJ19" s="26"/>
      <c r="BK19" s="26"/>
      <c r="BL19" s="26"/>
      <c r="BM19" s="26"/>
      <c r="BN19" s="26"/>
      <c r="BO19" s="26"/>
      <c r="BP19" s="26"/>
      <c r="BQ19" s="26"/>
      <c r="BR19" s="26"/>
      <c r="BS19" s="26"/>
      <c r="BT19" s="26"/>
      <c r="BU19" s="26"/>
      <c r="BV19" s="26"/>
      <c r="BW19" s="26"/>
      <c r="BX19" s="26"/>
      <c r="BY19" s="26"/>
      <c r="BZ19" s="26"/>
      <c r="CA19" s="26"/>
    </row>
    <row r="20" spans="1:79" s="25" customFormat="1" ht="12" customHeight="1">
      <c r="A20" s="24"/>
      <c r="B20" s="703"/>
      <c r="C20" s="704"/>
      <c r="D20" s="704"/>
      <c r="E20" s="704"/>
      <c r="F20" s="704"/>
      <c r="G20" s="704"/>
      <c r="H20" s="704"/>
      <c r="I20" s="704"/>
      <c r="J20" s="704"/>
      <c r="K20" s="704"/>
      <c r="L20" s="704"/>
      <c r="M20" s="705"/>
      <c r="N20" s="72"/>
      <c r="O20" s="251" t="s">
        <v>24</v>
      </c>
      <c r="P20" s="252"/>
      <c r="Q20" s="252"/>
      <c r="R20" s="253"/>
      <c r="S20" s="253"/>
      <c r="T20" s="709" t="e">
        <f ca="1">K28/T14</f>
        <v>#NAME?</v>
      </c>
      <c r="U20" s="709"/>
      <c r="V20" s="709"/>
      <c r="W20" s="69"/>
      <c r="X20" s="80" t="e">
        <f t="shared" ca="1" si="2"/>
        <v>#NAME?</v>
      </c>
      <c r="Y20" s="80">
        <f t="shared" si="2"/>
        <v>45657</v>
      </c>
      <c r="Z20" s="26"/>
      <c r="AA20" s="26"/>
      <c r="AB20" s="26"/>
      <c r="AC20" s="26"/>
      <c r="AD20" s="26"/>
      <c r="AE20" s="26"/>
      <c r="AF20" s="26"/>
      <c r="AG20" s="26"/>
      <c r="AH20" s="26"/>
      <c r="AI20" s="26"/>
      <c r="AJ20" s="26"/>
      <c r="AK20" s="26"/>
      <c r="AL20" s="26"/>
      <c r="AM20" s="26"/>
      <c r="AN20" s="26"/>
      <c r="AO20" s="26"/>
      <c r="AP20" s="26"/>
      <c r="AQ20" s="26"/>
      <c r="AR20" s="26"/>
      <c r="AS20" s="26"/>
      <c r="AT20" s="26"/>
      <c r="AU20" s="26"/>
      <c r="AV20" s="26"/>
      <c r="AW20" s="26"/>
      <c r="AX20" s="26"/>
      <c r="AY20" s="26"/>
      <c r="AZ20" s="26"/>
      <c r="BA20" s="26"/>
      <c r="BB20" s="26"/>
      <c r="BC20" s="26"/>
      <c r="BD20" s="26"/>
      <c r="BE20" s="26"/>
      <c r="BF20" s="26"/>
      <c r="BG20" s="26"/>
      <c r="BH20" s="26"/>
      <c r="BI20" s="26"/>
      <c r="BJ20" s="26"/>
      <c r="BK20" s="26"/>
      <c r="BL20" s="26"/>
      <c r="BM20" s="26"/>
      <c r="BN20" s="26"/>
      <c r="BO20" s="26"/>
      <c r="BP20" s="26"/>
      <c r="BQ20" s="26"/>
      <c r="BR20" s="26"/>
      <c r="BS20" s="26"/>
      <c r="BT20" s="26"/>
      <c r="BU20" s="26"/>
      <c r="BV20" s="26"/>
      <c r="BW20" s="26"/>
      <c r="BX20" s="26"/>
      <c r="BY20" s="26"/>
      <c r="BZ20" s="26"/>
      <c r="CA20" s="26"/>
    </row>
    <row r="21" spans="1:79" s="25" customFormat="1" ht="12" customHeight="1">
      <c r="A21" s="24"/>
      <c r="B21" s="703"/>
      <c r="C21" s="704"/>
      <c r="D21" s="704"/>
      <c r="E21" s="704"/>
      <c r="F21" s="704"/>
      <c r="G21" s="704"/>
      <c r="H21" s="704"/>
      <c r="I21" s="704"/>
      <c r="J21" s="704"/>
      <c r="K21" s="704"/>
      <c r="L21" s="704"/>
      <c r="M21" s="705"/>
      <c r="N21" s="72"/>
      <c r="O21" s="251" t="e">
        <f ca="1">"Consensus EPS FY1"&amp;" ("&amp;TEXT(EDATE($K$25,12),"YYYY")&amp;")"&amp;" in "&amp;_xll.FDS($T$8,"IC_CURRENCY(0)")</f>
        <v>#NAME?</v>
      </c>
      <c r="P21" s="252"/>
      <c r="Q21" s="252"/>
      <c r="R21" s="253"/>
      <c r="S21" s="253"/>
      <c r="T21" s="692" t="e">
        <f ca="1">_xll.FDS($T$8,"IC_ESTIMATE(EPS,MEAN,ANN,"&amp;TEXT(EDATE($K$25,12),"YYYY")&amp;")")</f>
        <v>#NAME?</v>
      </c>
      <c r="U21" s="692"/>
      <c r="V21" s="692"/>
      <c r="W21" s="82"/>
      <c r="X21" s="80" t="e">
        <f t="shared" ca="1" si="2"/>
        <v>#NAME?</v>
      </c>
      <c r="Y21" s="80">
        <f t="shared" si="2"/>
        <v>46022</v>
      </c>
      <c r="Z21" s="26"/>
      <c r="AA21" s="26"/>
      <c r="AB21" s="26"/>
      <c r="AC21" s="26"/>
      <c r="AD21" s="26"/>
      <c r="AE21" s="26"/>
      <c r="AF21" s="26"/>
      <c r="AG21" s="26"/>
      <c r="AH21" s="26"/>
      <c r="AI21" s="26"/>
      <c r="AJ21" s="26"/>
      <c r="AK21" s="26"/>
      <c r="AL21" s="26"/>
      <c r="AM21" s="26"/>
      <c r="AN21" s="26"/>
      <c r="AO21" s="26"/>
      <c r="AP21" s="26"/>
      <c r="AQ21" s="26"/>
      <c r="AR21" s="26"/>
      <c r="AS21" s="26"/>
      <c r="AT21" s="26"/>
      <c r="AU21" s="26"/>
      <c r="AV21" s="26"/>
      <c r="AW21" s="26"/>
      <c r="AX21" s="26"/>
      <c r="AY21" s="26"/>
      <c r="AZ21" s="26"/>
      <c r="BA21" s="26"/>
      <c r="BB21" s="26"/>
      <c r="BC21" s="26"/>
      <c r="BD21" s="26"/>
      <c r="BE21" s="26"/>
      <c r="BF21" s="26"/>
      <c r="BG21" s="26"/>
      <c r="BH21" s="26"/>
      <c r="BI21" s="26"/>
      <c r="BJ21" s="26"/>
      <c r="BK21" s="26"/>
      <c r="BL21" s="26"/>
      <c r="BM21" s="26"/>
      <c r="BN21" s="26"/>
      <c r="BO21" s="26"/>
      <c r="BP21" s="26"/>
      <c r="BQ21" s="26"/>
      <c r="BR21" s="26"/>
      <c r="BS21" s="26"/>
      <c r="BT21" s="26"/>
      <c r="BU21" s="26"/>
      <c r="BV21" s="26"/>
      <c r="BW21" s="26"/>
      <c r="BX21" s="26"/>
      <c r="BY21" s="26"/>
      <c r="BZ21" s="26"/>
      <c r="CA21" s="26"/>
    </row>
    <row r="22" spans="1:79" s="25" customFormat="1" ht="12" customHeight="1">
      <c r="A22" s="24"/>
      <c r="B22" s="703"/>
      <c r="C22" s="704"/>
      <c r="D22" s="704"/>
      <c r="E22" s="704"/>
      <c r="F22" s="704"/>
      <c r="G22" s="704"/>
      <c r="H22" s="704"/>
      <c r="I22" s="704"/>
      <c r="J22" s="704"/>
      <c r="K22" s="704"/>
      <c r="L22" s="704"/>
      <c r="M22" s="705"/>
      <c r="N22" s="72"/>
      <c r="O22" s="251" t="e">
        <f ca="1">"Consensus EPS FY2"&amp;" ("&amp;TEXT(EDATE($K$25,24),"YYYY")&amp;")"&amp;" in "&amp;_xll.FDS($T$8,"IC_CURRENCY(0)")</f>
        <v>#NAME?</v>
      </c>
      <c r="P22" s="252"/>
      <c r="Q22" s="252"/>
      <c r="R22" s="253"/>
      <c r="S22" s="253"/>
      <c r="T22" s="692" t="e">
        <f ca="1">_xll.FDS($T$8,"IC_ESTIMATE(EPS,MEAN,ANN,"&amp;TEXT(EDATE($K$25,24),"YYYY")&amp;")")</f>
        <v>#NAME?</v>
      </c>
      <c r="U22" s="692"/>
      <c r="V22" s="692"/>
      <c r="W22" s="82"/>
      <c r="X22" s="83"/>
      <c r="Y22" s="26"/>
      <c r="Z22" s="26"/>
      <c r="AA22" s="26"/>
      <c r="AB22" s="26"/>
      <c r="AC22" s="26"/>
      <c r="AD22" s="26"/>
      <c r="AE22" s="26"/>
      <c r="AF22" s="26"/>
      <c r="AG22" s="26"/>
      <c r="AH22" s="26"/>
      <c r="AI22" s="26"/>
      <c r="AJ22" s="26"/>
      <c r="AK22" s="26"/>
      <c r="AL22" s="26"/>
      <c r="AM22" s="26"/>
      <c r="AN22" s="26"/>
      <c r="AO22" s="26"/>
      <c r="AP22" s="26"/>
      <c r="AQ22" s="26"/>
      <c r="AR22" s="26"/>
      <c r="AS22" s="26"/>
      <c r="AT22" s="26"/>
      <c r="AU22" s="26"/>
      <c r="AV22" s="26"/>
      <c r="AW22" s="26"/>
      <c r="AX22" s="26"/>
      <c r="AY22" s="26"/>
      <c r="AZ22" s="26"/>
      <c r="BA22" s="26"/>
      <c r="BB22" s="26"/>
      <c r="BC22" s="26"/>
      <c r="BD22" s="26"/>
      <c r="BE22" s="26"/>
      <c r="BF22" s="26"/>
      <c r="BG22" s="26"/>
      <c r="BH22" s="26"/>
      <c r="BI22" s="26"/>
      <c r="BJ22" s="26"/>
      <c r="BK22" s="26"/>
      <c r="BL22" s="26"/>
      <c r="BM22" s="26"/>
      <c r="BN22" s="26"/>
      <c r="BO22" s="26"/>
      <c r="BP22" s="26"/>
      <c r="BQ22" s="26"/>
      <c r="BR22" s="26"/>
      <c r="BS22" s="26"/>
      <c r="BT22" s="26"/>
      <c r="BU22" s="26"/>
      <c r="BV22" s="26"/>
      <c r="BW22" s="26"/>
      <c r="BX22" s="26"/>
      <c r="BY22" s="26"/>
      <c r="BZ22" s="26"/>
      <c r="CA22" s="26"/>
    </row>
    <row r="23" spans="1:79" s="25" customFormat="1" ht="12" customHeight="1">
      <c r="A23" s="24"/>
      <c r="B23" s="706"/>
      <c r="C23" s="707"/>
      <c r="D23" s="707"/>
      <c r="E23" s="707"/>
      <c r="F23" s="707"/>
      <c r="G23" s="707"/>
      <c r="H23" s="707"/>
      <c r="I23" s="707"/>
      <c r="J23" s="707"/>
      <c r="K23" s="707"/>
      <c r="L23" s="707"/>
      <c r="M23" s="708"/>
      <c r="N23" s="72"/>
      <c r="O23" s="70" t="e">
        <f ca="1">"Consensus EPS FY3"&amp;" ("&amp;TEXT(EDATE($K$25,36),"YYYY")&amp;")"&amp;" in "&amp;_xll.FDS($T$8,"IC_CURRENCY(0)")</f>
        <v>#NAME?</v>
      </c>
      <c r="P23" s="57"/>
      <c r="Q23" s="57"/>
      <c r="R23" s="28"/>
      <c r="S23" s="28"/>
      <c r="T23" s="726" t="e">
        <f ca="1">_xll.FDS($T$8,"IC_ESTIMATE(EPS,MEAN,ANN,"&amp;TEXT(EDATE($K$25,36),"YYYY")&amp;")")</f>
        <v>#NAME?</v>
      </c>
      <c r="U23" s="726"/>
      <c r="V23" s="726"/>
      <c r="W23" s="82"/>
      <c r="Y23" s="26"/>
      <c r="Z23" s="26"/>
      <c r="AA23" s="26"/>
      <c r="AB23" s="26"/>
      <c r="AC23" s="26"/>
      <c r="AD23" s="26"/>
      <c r="AE23" s="26"/>
      <c r="AF23" s="26"/>
      <c r="AG23" s="26"/>
      <c r="AH23" s="26"/>
      <c r="AI23" s="26"/>
      <c r="AJ23" s="26"/>
      <c r="AK23" s="26"/>
      <c r="AL23" s="26"/>
      <c r="AM23" s="26"/>
      <c r="AN23" s="26"/>
      <c r="AO23" s="26"/>
      <c r="AP23" s="26"/>
      <c r="AQ23" s="26"/>
      <c r="AR23" s="26"/>
      <c r="AS23" s="26"/>
      <c r="AT23" s="26"/>
      <c r="AU23" s="26"/>
      <c r="AV23" s="26"/>
      <c r="AW23" s="26"/>
      <c r="AX23" s="26"/>
      <c r="AY23" s="26"/>
      <c r="AZ23" s="26"/>
      <c r="BA23" s="26"/>
      <c r="BB23" s="26"/>
      <c r="BC23" s="26"/>
      <c r="BD23" s="26"/>
      <c r="BE23" s="26"/>
      <c r="BF23" s="26"/>
      <c r="BG23" s="26"/>
      <c r="BH23" s="26"/>
      <c r="BI23" s="26"/>
      <c r="BJ23" s="26"/>
      <c r="BK23" s="26"/>
      <c r="BL23" s="26"/>
      <c r="BM23" s="26"/>
      <c r="BN23" s="26"/>
      <c r="BO23" s="26"/>
      <c r="BP23" s="26"/>
      <c r="BQ23" s="26"/>
      <c r="BR23" s="26"/>
      <c r="BS23" s="26"/>
      <c r="BT23" s="26"/>
      <c r="BU23" s="26"/>
      <c r="BV23" s="26"/>
      <c r="BW23" s="26"/>
      <c r="BX23" s="26"/>
      <c r="BY23" s="26"/>
      <c r="BZ23" s="26"/>
      <c r="CA23" s="26"/>
    </row>
    <row r="24" spans="1:79" s="25" customFormat="1" ht="10.5" customHeight="1">
      <c r="A24" s="24"/>
      <c r="B24" s="69"/>
      <c r="C24" s="69"/>
      <c r="D24" s="69"/>
      <c r="E24" s="69"/>
      <c r="F24" s="69"/>
      <c r="G24" s="69"/>
      <c r="H24" s="69"/>
      <c r="I24" s="69"/>
      <c r="J24" s="69"/>
      <c r="K24" s="686" t="s">
        <v>555</v>
      </c>
      <c r="L24" s="686"/>
      <c r="M24" s="69"/>
      <c r="N24" s="69"/>
      <c r="O24" s="69"/>
      <c r="P24" s="69"/>
      <c r="Q24" s="69"/>
      <c r="R24" s="69"/>
      <c r="S24" s="69"/>
      <c r="T24" s="69"/>
      <c r="U24" s="72"/>
      <c r="V24" s="69"/>
      <c r="W24" s="84"/>
      <c r="X24" s="243" t="s">
        <v>102</v>
      </c>
      <c r="Y24" s="27"/>
      <c r="Z24" s="26"/>
      <c r="AA24" s="26"/>
      <c r="AB24" s="26"/>
      <c r="AC24" s="26"/>
      <c r="AD24" s="26"/>
      <c r="AE24" s="26"/>
      <c r="AF24" s="26"/>
      <c r="AG24" s="26"/>
      <c r="AH24" s="26"/>
      <c r="AI24" s="26"/>
      <c r="AJ24" s="26"/>
      <c r="AK24" s="26"/>
      <c r="AL24" s="26"/>
      <c r="AM24" s="26"/>
      <c r="AN24" s="26"/>
      <c r="AO24" s="26"/>
      <c r="AP24" s="26"/>
      <c r="AQ24" s="26"/>
      <c r="AR24" s="26"/>
      <c r="AS24" s="26"/>
      <c r="AT24" s="26"/>
      <c r="AU24" s="26"/>
      <c r="AV24" s="26"/>
      <c r="AW24" s="26"/>
      <c r="AX24" s="26"/>
      <c r="AY24" s="26"/>
      <c r="AZ24" s="26"/>
      <c r="BA24" s="26"/>
      <c r="BB24" s="26"/>
      <c r="BC24" s="26"/>
      <c r="BD24" s="26"/>
      <c r="BE24" s="26"/>
      <c r="BF24" s="26"/>
      <c r="BG24" s="26"/>
      <c r="BH24" s="26"/>
      <c r="BI24" s="26"/>
      <c r="BJ24" s="26"/>
      <c r="BK24" s="26"/>
      <c r="BL24" s="26"/>
      <c r="BM24" s="26"/>
      <c r="BN24" s="26"/>
      <c r="BO24" s="26"/>
      <c r="BP24" s="26"/>
      <c r="BQ24" s="26"/>
      <c r="BR24" s="26"/>
      <c r="BS24" s="26"/>
      <c r="BT24" s="26"/>
      <c r="BU24" s="26"/>
      <c r="BV24" s="26"/>
      <c r="BW24" s="26"/>
      <c r="BX24" s="26"/>
      <c r="BY24" s="26"/>
      <c r="BZ24" s="26"/>
      <c r="CA24" s="26"/>
    </row>
    <row r="25" spans="1:79" s="25" customFormat="1" ht="15" customHeight="1">
      <c r="A25" s="24"/>
      <c r="B25" s="715"/>
      <c r="C25" s="715"/>
      <c r="D25" s="267"/>
      <c r="E25" s="716">
        <f>EDATE($K$25,-36)</f>
        <v>42369</v>
      </c>
      <c r="F25" s="716"/>
      <c r="G25" s="716">
        <f>EDATE($K$25,-24)</f>
        <v>42735</v>
      </c>
      <c r="H25" s="716"/>
      <c r="I25" s="716">
        <f>EDATE($K$25,-12)</f>
        <v>43100</v>
      </c>
      <c r="J25" s="716"/>
      <c r="K25" s="717">
        <v>43465</v>
      </c>
      <c r="L25" s="717"/>
      <c r="M25" s="696" t="str">
        <f>TEXT(EDATE($K$25,12),"YYYY.MM")&amp;"(e)"</f>
        <v>2019.12(e)</v>
      </c>
      <c r="N25" s="696"/>
      <c r="O25" s="696" t="str">
        <f>TEXT(EDATE($K$25,24),"YYYY.MM")&amp;"(e)"</f>
        <v>2020.12(e)</v>
      </c>
      <c r="P25" s="696"/>
      <c r="Q25" s="696" t="str">
        <f>TEXT(EDATE($K$25,36),"YYYY.MM")&amp;"(e)"</f>
        <v>2021.12(e)</v>
      </c>
      <c r="R25" s="696"/>
      <c r="S25" s="696" t="str">
        <f>TEXT(EDATE($K$25,48),"YYYY.MM")&amp;"(e)"</f>
        <v>2022.12(e)</v>
      </c>
      <c r="T25" s="696"/>
      <c r="U25" s="696" t="str">
        <f>TEXT(EDATE($K$25,60),"YYYY.MM")&amp;"(e)"</f>
        <v>2023.12(e)</v>
      </c>
      <c r="V25" s="696"/>
      <c r="W25" s="35"/>
      <c r="X25" s="273" t="s">
        <v>20</v>
      </c>
      <c r="Y25" s="274">
        <v>42369</v>
      </c>
      <c r="Z25" s="275">
        <f>EDATE(Y25,12)</f>
        <v>42735</v>
      </c>
      <c r="AA25" s="275">
        <f t="shared" ref="AA25:AW25" si="3">EDATE(Z25,12)</f>
        <v>43100</v>
      </c>
      <c r="AB25" s="275">
        <f t="shared" si="3"/>
        <v>43465</v>
      </c>
      <c r="AC25" s="275">
        <f t="shared" si="3"/>
        <v>43830</v>
      </c>
      <c r="AD25" s="275">
        <f t="shared" si="3"/>
        <v>44196</v>
      </c>
      <c r="AE25" s="275">
        <f t="shared" si="3"/>
        <v>44561</v>
      </c>
      <c r="AF25" s="275">
        <f t="shared" si="3"/>
        <v>44926</v>
      </c>
      <c r="AG25" s="275">
        <f t="shared" si="3"/>
        <v>45291</v>
      </c>
      <c r="AH25" s="275">
        <f t="shared" si="3"/>
        <v>45657</v>
      </c>
      <c r="AI25" s="275">
        <f t="shared" si="3"/>
        <v>46022</v>
      </c>
      <c r="AJ25" s="275">
        <f t="shared" si="3"/>
        <v>46387</v>
      </c>
      <c r="AK25" s="275">
        <f t="shared" si="3"/>
        <v>46752</v>
      </c>
      <c r="AL25" s="275">
        <f t="shared" si="3"/>
        <v>47118</v>
      </c>
      <c r="AM25" s="275">
        <f>EDATE(AL25,12)</f>
        <v>47483</v>
      </c>
      <c r="AN25" s="275">
        <f t="shared" si="3"/>
        <v>47848</v>
      </c>
      <c r="AO25" s="275">
        <f t="shared" si="3"/>
        <v>48213</v>
      </c>
      <c r="AP25" s="275">
        <f t="shared" si="3"/>
        <v>48579</v>
      </c>
      <c r="AQ25" s="275">
        <f>EDATE(AP25,12)</f>
        <v>48944</v>
      </c>
      <c r="AR25" s="275">
        <f t="shared" si="3"/>
        <v>49309</v>
      </c>
      <c r="AS25" s="275">
        <f t="shared" si="3"/>
        <v>49674</v>
      </c>
      <c r="AT25" s="275">
        <f t="shared" si="3"/>
        <v>50040</v>
      </c>
      <c r="AU25" s="275">
        <f t="shared" si="3"/>
        <v>50405</v>
      </c>
      <c r="AV25" s="275">
        <f t="shared" si="3"/>
        <v>50770</v>
      </c>
      <c r="AW25" s="275">
        <f t="shared" si="3"/>
        <v>51135</v>
      </c>
      <c r="AX25" s="275">
        <f t="shared" ref="AX25:CA25" si="4">EDATE(AW25,12)</f>
        <v>51501</v>
      </c>
      <c r="AY25" s="275">
        <f t="shared" si="4"/>
        <v>51866</v>
      </c>
      <c r="AZ25" s="275">
        <f t="shared" si="4"/>
        <v>52231</v>
      </c>
      <c r="BA25" s="275">
        <f t="shared" si="4"/>
        <v>52596</v>
      </c>
      <c r="BB25" s="275">
        <f t="shared" si="4"/>
        <v>52962</v>
      </c>
      <c r="BC25" s="275">
        <f t="shared" si="4"/>
        <v>53327</v>
      </c>
      <c r="BD25" s="275">
        <f t="shared" si="4"/>
        <v>53692</v>
      </c>
      <c r="BE25" s="275">
        <f t="shared" si="4"/>
        <v>54057</v>
      </c>
      <c r="BF25" s="275">
        <f t="shared" si="4"/>
        <v>54423</v>
      </c>
      <c r="BG25" s="275">
        <f t="shared" si="4"/>
        <v>54788</v>
      </c>
      <c r="BH25" s="275">
        <f t="shared" si="4"/>
        <v>55153</v>
      </c>
      <c r="BI25" s="275">
        <f t="shared" si="4"/>
        <v>55518</v>
      </c>
      <c r="BJ25" s="275">
        <f t="shared" si="4"/>
        <v>55884</v>
      </c>
      <c r="BK25" s="275">
        <f t="shared" si="4"/>
        <v>56249</v>
      </c>
      <c r="BL25" s="275">
        <f t="shared" si="4"/>
        <v>56614</v>
      </c>
      <c r="BM25" s="275">
        <f t="shared" si="4"/>
        <v>56979</v>
      </c>
      <c r="BN25" s="275">
        <f t="shared" si="4"/>
        <v>57345</v>
      </c>
      <c r="BO25" s="275">
        <f t="shared" si="4"/>
        <v>57710</v>
      </c>
      <c r="BP25" s="275">
        <f t="shared" si="4"/>
        <v>58075</v>
      </c>
      <c r="BQ25" s="275">
        <f t="shared" si="4"/>
        <v>58440</v>
      </c>
      <c r="BR25" s="275">
        <f t="shared" si="4"/>
        <v>58806</v>
      </c>
      <c r="BS25" s="275">
        <f t="shared" si="4"/>
        <v>59171</v>
      </c>
      <c r="BT25" s="275">
        <f t="shared" si="4"/>
        <v>59536</v>
      </c>
      <c r="BU25" s="275">
        <f t="shared" si="4"/>
        <v>59901</v>
      </c>
      <c r="BV25" s="275">
        <f t="shared" si="4"/>
        <v>60267</v>
      </c>
      <c r="BW25" s="275">
        <f t="shared" si="4"/>
        <v>60632</v>
      </c>
      <c r="BX25" s="275">
        <f t="shared" si="4"/>
        <v>60997</v>
      </c>
      <c r="BY25" s="275">
        <f t="shared" si="4"/>
        <v>61362</v>
      </c>
      <c r="BZ25" s="275">
        <f t="shared" si="4"/>
        <v>61728</v>
      </c>
      <c r="CA25" s="275">
        <f t="shared" si="4"/>
        <v>62093</v>
      </c>
    </row>
    <row r="26" spans="1:79" s="25" customFormat="1" ht="15" customHeight="1">
      <c r="A26" s="24"/>
      <c r="B26" s="718" t="e">
        <f ca="1">"EPS in "&amp;T12</f>
        <v>#NAME?</v>
      </c>
      <c r="C26" s="718"/>
      <c r="D26" s="268"/>
      <c r="E26" s="694">
        <f>IF(HLOOKUP(EDATE($K$25,-36),$Y$25:$XFD$28,2,FALSE)="","",HLOOKUP(EDATE($K$25,-36),$Y$25:$XFD$28,2,FALSE))</f>
        <v>2.1448028673835124</v>
      </c>
      <c r="F26" s="694"/>
      <c r="G26" s="694">
        <f>IF(HLOOKUP(EDATE($K$25,-24),$Y$25:$XFD$28,2,FALSE)="","",HLOOKUP(EDATE($K$25,-24),$Y$25:$XFD$28,2,FALSE))</f>
        <v>2.9077406455298482</v>
      </c>
      <c r="H26" s="694"/>
      <c r="I26" s="694">
        <f>IF(HLOOKUP(EDATE($K$25,-12),$Y$25:$XFD$28,2,FALSE)="","",HLOOKUP(EDATE($K$25,-12),$Y$25:$XFD$28,2,FALSE))</f>
        <v>3.91327944242909</v>
      </c>
      <c r="J26" s="694"/>
      <c r="K26" s="694">
        <f>IF(HLOOKUP(EDATE($K$25,0),$Y$25:$XFD$28,2,FALSE)="","",HLOOKUP(EDATE($K$25,0),$Y$25:$XFD$28,2,FALSE))</f>
        <v>4.3062200956937797</v>
      </c>
      <c r="L26" s="694"/>
      <c r="M26" s="694">
        <f>IF(HLOOKUP(EDATE($K$25,12),$Y$25:$XFD$28,2,FALSE)="","",HLOOKUP(EDATE($K$25,12),$Y$25:$XFD$28,2,FALSE))</f>
        <v>5.1077771181556209</v>
      </c>
      <c r="N26" s="694"/>
      <c r="O26" s="694">
        <f>IF(HLOOKUP(EDATE($K$25,24),$Y$25:$XFD$28,2,FALSE)="","",HLOOKUP(EDATE($K$25,24),$Y$25:$XFD$28,2,FALSE))</f>
        <v>7.0467298877545161</v>
      </c>
      <c r="P26" s="694"/>
      <c r="Q26" s="694">
        <f>IF(HLOOKUP(EDATE($K$25,36),$Y$25:$XFD$28,2,FALSE)="","",HLOOKUP(EDATE($K$25,36),$Y$25:$XFD$28,2,FALSE))</f>
        <v>7.2942571756063508</v>
      </c>
      <c r="R26" s="694"/>
      <c r="S26" s="694">
        <f>IF(HLOOKUP(EDATE($K$25,48),$Y$25:$XFD$28,2,FALSE)="","",HLOOKUP(EDATE($K$25,48),$Y$25:$XFD$28,2,FALSE))</f>
        <v>7.7910602861016622</v>
      </c>
      <c r="T26" s="694"/>
      <c r="U26" s="694">
        <f>IF(HLOOKUP(EDATE($K$25,60),$Y$25:$XFD$28,2,FALSE)="","",HLOOKUP(EDATE($K$25,60),$Y$25:$XFD$28,2,FALSE))</f>
        <v>8.2950995057877019</v>
      </c>
      <c r="V26" s="694"/>
      <c r="W26" s="35"/>
      <c r="X26" s="271" t="e">
        <f ca="1">"EPS in "&amp;T12</f>
        <v>#NAME?</v>
      </c>
      <c r="Y26" s="272">
        <v>2.1448028673835124</v>
      </c>
      <c r="Z26" s="272">
        <v>2.9077406455298482</v>
      </c>
      <c r="AA26" s="272">
        <v>3.91327944242909</v>
      </c>
      <c r="AB26" s="272">
        <v>4.3062200956937797</v>
      </c>
      <c r="AC26" s="272">
        <v>5.1077771181556209</v>
      </c>
      <c r="AD26" s="272">
        <v>7.0467298877545161</v>
      </c>
      <c r="AE26" s="272">
        <v>7.2942571756063508</v>
      </c>
      <c r="AF26" s="272">
        <v>7.7910602861016622</v>
      </c>
      <c r="AG26" s="272">
        <v>8.2950995057877019</v>
      </c>
      <c r="AH26" s="272">
        <v>8.8163410904876613</v>
      </c>
      <c r="AI26" s="272"/>
      <c r="AJ26" s="272"/>
      <c r="AK26" s="272"/>
      <c r="AL26" s="272"/>
      <c r="AM26" s="272"/>
      <c r="AN26" s="272"/>
      <c r="AO26" s="272"/>
      <c r="AP26" s="272"/>
      <c r="AQ26" s="272"/>
      <c r="AR26" s="272"/>
      <c r="AS26" s="272"/>
      <c r="AT26" s="272"/>
      <c r="AU26" s="272"/>
      <c r="AV26" s="272"/>
      <c r="AW26" s="272"/>
      <c r="AX26" s="272"/>
      <c r="AY26" s="272"/>
      <c r="AZ26" s="272"/>
      <c r="BA26" s="272"/>
      <c r="BB26" s="272"/>
      <c r="BC26" s="272"/>
      <c r="BD26" s="272"/>
      <c r="BE26" s="272"/>
      <c r="BF26" s="272"/>
      <c r="BG26" s="272"/>
      <c r="BH26" s="272"/>
      <c r="BI26" s="272"/>
      <c r="BJ26" s="272"/>
      <c r="BK26" s="272"/>
      <c r="BL26" s="272"/>
      <c r="BM26" s="272"/>
      <c r="BN26" s="272"/>
      <c r="BO26" s="272"/>
      <c r="BP26" s="272"/>
      <c r="BQ26" s="272"/>
      <c r="BR26" s="272"/>
      <c r="BS26" s="272"/>
      <c r="BT26" s="272"/>
      <c r="BU26" s="272"/>
      <c r="BV26" s="272"/>
      <c r="BW26" s="272"/>
      <c r="BX26" s="272"/>
      <c r="BY26" s="272"/>
      <c r="BZ26" s="272"/>
      <c r="CA26" s="272"/>
    </row>
    <row r="27" spans="1:79">
      <c r="A27" s="24"/>
      <c r="B27" s="720" t="s">
        <v>2</v>
      </c>
      <c r="C27" s="720"/>
      <c r="D27" s="246"/>
      <c r="E27" s="721"/>
      <c r="F27" s="721"/>
      <c r="G27" s="687">
        <f>IF(ISERROR((G26-E26)/ABS(E26)),"-",(G26-E26)/ABS(E26))</f>
        <v>0.35571463920927088</v>
      </c>
      <c r="H27" s="687"/>
      <c r="I27" s="687">
        <f t="shared" ref="I27" si="5">IF(ISERROR((I26-G26)/ABS(G26)),"-",(I26-G26)/ABS(G26))</f>
        <v>0.34581447229314793</v>
      </c>
      <c r="J27" s="687"/>
      <c r="K27" s="687">
        <f t="shared" ref="K27" si="6">IF(ISERROR((K26-I26)/ABS(I26)),"-",(K26-I26)/ABS(I26))</f>
        <v>0.10041211189885782</v>
      </c>
      <c r="L27" s="687"/>
      <c r="M27" s="687">
        <f t="shared" ref="M27" si="7">IF(ISERROR((M26-K26)/ABS(K26)),"-",(M26-K26)/ABS(K26))</f>
        <v>0.18613935299391646</v>
      </c>
      <c r="N27" s="687"/>
      <c r="O27" s="687">
        <f t="shared" ref="O27" si="8">IF(ISERROR((O26-M26)/ABS(M26)),"-",(O26-M26)/ABS(M26))</f>
        <v>0.37960794387579627</v>
      </c>
      <c r="P27" s="687"/>
      <c r="Q27" s="687">
        <f t="shared" ref="Q27" si="9">IF(ISERROR((Q26-O26)/ABS(O26)),"-",(Q26-O26)/ABS(O26))</f>
        <v>3.5126546894038921E-2</v>
      </c>
      <c r="R27" s="687"/>
      <c r="S27" s="687">
        <f t="shared" ref="S27" si="10">IF(ISERROR((S26-Q26)/ABS(Q26)),"-",(S26-Q26)/ABS(Q26))</f>
        <v>6.8108801010846404E-2</v>
      </c>
      <c r="T27" s="687"/>
      <c r="U27" s="687">
        <f t="shared" ref="U27" si="11">IF(ISERROR((U26-S26)/ABS(S26)),"-",(U26-S26)/ABS(S26))</f>
        <v>6.4694560326427786E-2</v>
      </c>
      <c r="V27" s="687"/>
      <c r="W27" s="85"/>
      <c r="X27" s="269"/>
      <c r="Y27" s="270"/>
      <c r="Z27" s="269"/>
      <c r="AA27" s="269"/>
      <c r="AB27" s="269"/>
      <c r="AC27" s="269"/>
      <c r="AD27" s="269"/>
      <c r="AE27" s="269"/>
      <c r="AF27" s="269"/>
      <c r="AG27" s="269"/>
      <c r="AH27" s="269"/>
      <c r="AI27" s="269"/>
      <c r="AJ27" s="269"/>
      <c r="AK27" s="269"/>
      <c r="AL27" s="269"/>
      <c r="AM27" s="269"/>
      <c r="AN27" s="269"/>
      <c r="AO27" s="269"/>
      <c r="AP27" s="269"/>
      <c r="AQ27" s="269"/>
      <c r="AR27" s="269"/>
      <c r="AS27" s="269"/>
      <c r="AT27" s="269"/>
      <c r="AU27" s="269"/>
      <c r="AV27" s="269"/>
      <c r="AW27" s="269"/>
      <c r="AX27" s="269"/>
      <c r="AY27" s="269"/>
      <c r="AZ27" s="269"/>
      <c r="BA27" s="269"/>
      <c r="BB27" s="269"/>
      <c r="BC27" s="269"/>
      <c r="BD27" s="269"/>
      <c r="BE27" s="269"/>
      <c r="BF27" s="269"/>
      <c r="BG27" s="269"/>
      <c r="BH27" s="269"/>
      <c r="BI27" s="269"/>
      <c r="BJ27" s="269"/>
      <c r="BK27" s="269"/>
      <c r="BL27" s="269"/>
      <c r="BM27" s="269"/>
      <c r="BN27" s="269"/>
      <c r="BO27" s="269"/>
      <c r="BP27" s="269"/>
      <c r="BQ27" s="269"/>
      <c r="BR27" s="269"/>
      <c r="BS27" s="269"/>
      <c r="BT27" s="269"/>
      <c r="BU27" s="269"/>
      <c r="BV27" s="269"/>
      <c r="BW27" s="269"/>
      <c r="BX27" s="269"/>
      <c r="BY27" s="269"/>
      <c r="BZ27" s="269"/>
      <c r="CA27" s="269"/>
    </row>
    <row r="28" spans="1:79" s="25" customFormat="1">
      <c r="A28" s="24"/>
      <c r="B28" s="723" t="e">
        <f ca="1">"DPS in "&amp;T12</f>
        <v>#NAME?</v>
      </c>
      <c r="C28" s="723"/>
      <c r="D28" s="266"/>
      <c r="E28" s="695">
        <f>IF(HLOOKUP(EDATE($K$25,-36),$Y$25:$XFD$28,4,FALSE)="","",HLOOKUP(EDATE($K$25,-36),$Y$25:$XFD$28,4,FALSE))</f>
        <v>1.65</v>
      </c>
      <c r="F28" s="695"/>
      <c r="G28" s="695">
        <f>IF(HLOOKUP(EDATE($K$25,-24),$Y$25:$XFD$28,4,FALSE)="","",HLOOKUP(EDATE($K$25,-24),$Y$25:$XFD$28,4,FALSE))</f>
        <v>1.75</v>
      </c>
      <c r="H28" s="695"/>
      <c r="I28" s="695">
        <f>IF(HLOOKUP(EDATE($K$25,-12),$Y$25:$XFD$28,4,FALSE)="","",HLOOKUP(EDATE($K$25,-12),$Y$25:$XFD$28,4,FALSE))</f>
        <v>1.85</v>
      </c>
      <c r="J28" s="695"/>
      <c r="K28" s="695">
        <f>IF(HLOOKUP(EDATE($K$25,0),$Y$25:$XFD$28,4,FALSE)="","",HLOOKUP(EDATE($K$25,0),$Y$25:$XFD$28,4,FALSE))</f>
        <v>2.2999999999999998</v>
      </c>
      <c r="L28" s="695"/>
      <c r="M28" s="695">
        <f>IF(HLOOKUP(EDATE($K$25,12),$Y$25:$XFD$28,4,FALSE)="","",HLOOKUP(EDATE($K$25,12),$Y$25:$XFD$28,4,FALSE))</f>
        <v>1.85</v>
      </c>
      <c r="N28" s="695"/>
      <c r="O28" s="695">
        <f>IF(HLOOKUP(EDATE($K$25,24),$Y$25:$XFD$28,4,FALSE)="","",HLOOKUP(EDATE($K$25,24),$Y$25:$XFD$28,4,FALSE))</f>
        <v>1.85</v>
      </c>
      <c r="P28" s="695"/>
      <c r="Q28" s="695">
        <f>IF(HLOOKUP(EDATE($K$25,36),$Y$25:$XFD$28,4,FALSE)="","",HLOOKUP(EDATE($K$25,36),$Y$25:$XFD$28,4,FALSE))</f>
        <v>1.85</v>
      </c>
      <c r="R28" s="695"/>
      <c r="S28" s="695">
        <f>IF(HLOOKUP(EDATE($K$25,48),$Y$25:$XFD$28,4,FALSE)="","",HLOOKUP(EDATE($K$25,48),$Y$25:$XFD$28,4,FALSE))</f>
        <v>1.85</v>
      </c>
      <c r="T28" s="695"/>
      <c r="U28" s="695">
        <f>IF(HLOOKUP(EDATE($K$25,60),$Y$25:$XFD$28,4,FALSE)="","",HLOOKUP(EDATE($K$25,60),$Y$25:$XFD$28,4,FALSE))</f>
        <v>1.85</v>
      </c>
      <c r="V28" s="695"/>
      <c r="W28" s="35"/>
      <c r="X28" s="276" t="e">
        <f ca="1">"DPS in "&amp;T12</f>
        <v>#NAME?</v>
      </c>
      <c r="Y28" s="277">
        <v>1.65</v>
      </c>
      <c r="Z28" s="277">
        <v>1.75</v>
      </c>
      <c r="AA28" s="277">
        <v>1.85</v>
      </c>
      <c r="AB28" s="277">
        <v>2.2999999999999998</v>
      </c>
      <c r="AC28" s="277">
        <v>1.85</v>
      </c>
      <c r="AD28" s="277">
        <v>1.85</v>
      </c>
      <c r="AE28" s="277">
        <v>1.85</v>
      </c>
      <c r="AF28" s="277">
        <v>1.85</v>
      </c>
      <c r="AG28" s="277">
        <v>1.85</v>
      </c>
      <c r="AH28" s="277">
        <v>1.85</v>
      </c>
      <c r="AI28" s="277"/>
      <c r="AJ28" s="277"/>
      <c r="AK28" s="277"/>
      <c r="AL28" s="277"/>
      <c r="AM28" s="277"/>
      <c r="AN28" s="277"/>
      <c r="AO28" s="277"/>
      <c r="AP28" s="277"/>
      <c r="AQ28" s="277"/>
      <c r="AR28" s="277"/>
      <c r="AS28" s="277"/>
      <c r="AT28" s="277"/>
      <c r="AU28" s="277"/>
      <c r="AV28" s="277"/>
      <c r="AW28" s="277"/>
      <c r="AX28" s="277"/>
      <c r="AY28" s="277"/>
      <c r="AZ28" s="277"/>
      <c r="BA28" s="277"/>
      <c r="BB28" s="277"/>
      <c r="BC28" s="277"/>
      <c r="BD28" s="277"/>
      <c r="BE28" s="277"/>
      <c r="BF28" s="277"/>
      <c r="BG28" s="277"/>
      <c r="BH28" s="277"/>
      <c r="BI28" s="277"/>
      <c r="BJ28" s="277"/>
      <c r="BK28" s="277"/>
      <c r="BL28" s="277"/>
      <c r="BM28" s="277"/>
      <c r="BN28" s="277"/>
      <c r="BO28" s="277"/>
      <c r="BP28" s="277"/>
      <c r="BQ28" s="277"/>
      <c r="BR28" s="277"/>
      <c r="BS28" s="277"/>
      <c r="BT28" s="277"/>
      <c r="BU28" s="277"/>
      <c r="BV28" s="277"/>
      <c r="BW28" s="277"/>
      <c r="BX28" s="277"/>
      <c r="BY28" s="277"/>
      <c r="BZ28" s="277"/>
      <c r="CA28" s="277"/>
    </row>
    <row r="29" spans="1:79" s="63" customFormat="1" ht="15" customHeight="1">
      <c r="A29" s="24"/>
      <c r="B29" s="768" t="s">
        <v>2</v>
      </c>
      <c r="C29" s="768"/>
      <c r="D29" s="265"/>
      <c r="E29" s="714"/>
      <c r="F29" s="714"/>
      <c r="G29" s="697">
        <f>IF(ISERROR((G28-E28)/E28),"-",(G28-E28)/E28)</f>
        <v>6.0606060606060663E-2</v>
      </c>
      <c r="H29" s="697"/>
      <c r="I29" s="697">
        <f t="shared" ref="I29" si="12">IF(ISERROR((I28-G28)/G28),"-",(I28-G28)/G28)</f>
        <v>5.7142857142857197E-2</v>
      </c>
      <c r="J29" s="697"/>
      <c r="K29" s="697">
        <f t="shared" ref="K29" si="13">IF(ISERROR((K28-I28)/I28),"-",(K28-I28)/I28)</f>
        <v>0.24324324324324309</v>
      </c>
      <c r="L29" s="697"/>
      <c r="M29" s="697">
        <f>IF(ISERROR((M28-K28)/K28),"-",(M28-K28)/K28)</f>
        <v>-0.19565217391304338</v>
      </c>
      <c r="N29" s="697"/>
      <c r="O29" s="697">
        <f>IF(ISERROR((O28-M28)/M28),"-",(O28-M28)/M28)</f>
        <v>0</v>
      </c>
      <c r="P29" s="697"/>
      <c r="Q29" s="697">
        <f t="shared" ref="Q29" si="14">IF(ISERROR((Q28-O28)/O28),"-",(Q28-O28)/O28)</f>
        <v>0</v>
      </c>
      <c r="R29" s="697"/>
      <c r="S29" s="697">
        <f t="shared" ref="S29" si="15">IF(ISERROR((S28-Q28)/Q28),"-",(S28-Q28)/Q28)</f>
        <v>0</v>
      </c>
      <c r="T29" s="697"/>
      <c r="U29" s="697">
        <f t="shared" ref="U29" si="16">IF(ISERROR((U28-S28)/S28),"-",(U28-S28)/S28)</f>
        <v>0</v>
      </c>
      <c r="V29" s="697"/>
      <c r="W29" s="35"/>
      <c r="X29" s="764" t="s">
        <v>569</v>
      </c>
      <c r="Y29" s="762" t="str">
        <f ca="1">IF(ISERROR(_xll.FDS(SEC_CODE,"WS_ACTG_STANDARDS("&amp;Y25&amp;")")),"-",_xll.FDS(SEC_CODE,"WS_ACTG_STANDARDS("&amp;Y25&amp;")"))</f>
        <v>-</v>
      </c>
      <c r="Z29" s="763" t="str">
        <f ca="1">IF(ISERROR(_xll.FDS(SEC_CODE,"WS_ACTG_STANDARDS("&amp;Z25&amp;")")),"-",_xll.FDS(SEC_CODE,"WS_ACTG_STANDARDS("&amp;Z25&amp;")"))</f>
        <v>-</v>
      </c>
      <c r="AA29" s="763" t="str">
        <f ca="1">IF(ISERROR(_xll.FDS(SEC_CODE,"WS_ACTG_STANDARDS("&amp;AA25&amp;")")),"-",_xll.FDS(SEC_CODE,"WS_ACTG_STANDARDS("&amp;AA25&amp;")"))</f>
        <v>-</v>
      </c>
      <c r="AB29" s="763" t="str">
        <f ca="1">IF(ISERROR(_xll.FDS(SEC_CODE,"WS_ACTG_STANDARDS("&amp;AB25&amp;")")),"-",_xll.FDS(SEC_CODE,"WS_ACTG_STANDARDS("&amp;AB25&amp;")"))</f>
        <v>-</v>
      </c>
      <c r="AC29" s="763" t="str">
        <f ca="1">IF(ISERROR(_xll.FDS(SEC_CODE,"WS_ACTG_STANDARDS("&amp;AC25&amp;")")),"-",_xll.FDS(SEC_CODE,"WS_ACTG_STANDARDS("&amp;AC25&amp;")"))</f>
        <v>-</v>
      </c>
      <c r="AD29" s="763" t="str">
        <f ca="1">IF(ISERROR(_xll.FDS(SEC_CODE,"WS_ACTG_STANDARDS("&amp;AD25&amp;")")),"-",_xll.FDS(SEC_CODE,"WS_ACTG_STANDARDS("&amp;AD25&amp;")"))</f>
        <v>-</v>
      </c>
      <c r="AE29" s="763"/>
      <c r="AF29" s="763"/>
      <c r="AG29" s="763"/>
      <c r="AH29" s="763"/>
      <c r="AI29" s="763"/>
      <c r="AJ29" s="763"/>
      <c r="AK29" s="763"/>
      <c r="AL29" s="763"/>
      <c r="AM29" s="763"/>
      <c r="AN29" s="763"/>
      <c r="AO29" s="763"/>
      <c r="AP29" s="763"/>
      <c r="AQ29" s="763"/>
      <c r="AR29" s="763"/>
      <c r="AS29" s="763"/>
      <c r="AT29" s="763"/>
      <c r="AU29" s="763"/>
      <c r="AV29" s="763"/>
      <c r="AW29" s="763"/>
      <c r="AX29" s="763"/>
      <c r="AY29" s="763"/>
      <c r="AZ29" s="763"/>
      <c r="BA29" s="763"/>
      <c r="BB29" s="763"/>
      <c r="BC29" s="763"/>
      <c r="BD29" s="763"/>
      <c r="BE29" s="763"/>
      <c r="BF29" s="763"/>
      <c r="BG29" s="763"/>
      <c r="BH29" s="763"/>
      <c r="BI29" s="763"/>
      <c r="BJ29" s="763"/>
      <c r="BK29" s="763"/>
      <c r="BL29" s="763"/>
      <c r="BM29" s="763"/>
      <c r="BN29" s="763"/>
      <c r="BO29" s="763"/>
      <c r="BP29" s="763"/>
      <c r="BQ29" s="763"/>
      <c r="BR29" s="763"/>
      <c r="BS29" s="763"/>
      <c r="BT29" s="763"/>
      <c r="BU29" s="763"/>
      <c r="BV29" s="763"/>
      <c r="BW29" s="763"/>
      <c r="BX29" s="763"/>
      <c r="BY29" s="763"/>
      <c r="BZ29" s="763"/>
      <c r="CA29" s="763"/>
    </row>
    <row r="30" spans="1:79" s="64" customFormat="1" ht="15" customHeight="1">
      <c r="A30" s="24"/>
      <c r="B30" s="720" t="s">
        <v>11</v>
      </c>
      <c r="C30" s="720"/>
      <c r="D30" s="246"/>
      <c r="E30" s="687">
        <f>IF(ISERROR(E28/E26),"-",E28/E26)</f>
        <v>0.76930147058823528</v>
      </c>
      <c r="F30" s="687"/>
      <c r="G30" s="687">
        <f>IF(ISERROR(G28/G26),"-",G28/G26)</f>
        <v>0.60184184675834973</v>
      </c>
      <c r="H30" s="687"/>
      <c r="I30" s="687">
        <f t="shared" ref="I30" si="17">IF(ISERROR(I28/I26),"-",I28/I26)</f>
        <v>0.47274927007299267</v>
      </c>
      <c r="J30" s="687"/>
      <c r="K30" s="687">
        <f t="shared" ref="K30" si="18">IF(ISERROR(K28/K26),"-",K28/K26)</f>
        <v>0.53411111111111109</v>
      </c>
      <c r="L30" s="687"/>
      <c r="M30" s="687">
        <f t="shared" ref="M30" si="19">IF(ISERROR(M28/M26),"-",M28/M26)</f>
        <v>0.36219278116583536</v>
      </c>
      <c r="N30" s="687"/>
      <c r="O30" s="687">
        <f t="shared" ref="O30" si="20">IF(ISERROR(O28/O26),"-",O28/O26)</f>
        <v>0.26253312237990634</v>
      </c>
      <c r="P30" s="687"/>
      <c r="Q30" s="687">
        <f t="shared" ref="Q30" si="21">IF(ISERROR(Q28/Q26),"-",Q28/Q26)</f>
        <v>0.25362418070298087</v>
      </c>
      <c r="R30" s="687"/>
      <c r="S30" s="687">
        <f t="shared" ref="S30" si="22">IF(ISERROR(S28/S26),"-",S28/S26)</f>
        <v>0.237451634574075</v>
      </c>
      <c r="T30" s="687"/>
      <c r="U30" s="687">
        <f t="shared" ref="U30" si="23">IF(ISERROR(U28/U26),"-",U28/U26)</f>
        <v>0.22302324386937228</v>
      </c>
      <c r="V30" s="687"/>
      <c r="W30" s="35"/>
      <c r="X30" s="764"/>
      <c r="Y30" s="763"/>
      <c r="Z30" s="763"/>
      <c r="AA30" s="763"/>
      <c r="AB30" s="763"/>
      <c r="AC30" s="763"/>
      <c r="AD30" s="763"/>
      <c r="AE30" s="763"/>
      <c r="AF30" s="763"/>
      <c r="AG30" s="763"/>
      <c r="AH30" s="763"/>
      <c r="AI30" s="763"/>
      <c r="AJ30" s="763"/>
      <c r="AK30" s="763"/>
      <c r="AL30" s="763"/>
      <c r="AM30" s="763"/>
      <c r="AN30" s="763"/>
      <c r="AO30" s="763"/>
      <c r="AP30" s="763"/>
      <c r="AQ30" s="763"/>
      <c r="AR30" s="763"/>
      <c r="AS30" s="763"/>
      <c r="AT30" s="763"/>
      <c r="AU30" s="763"/>
      <c r="AV30" s="763"/>
      <c r="AW30" s="763"/>
      <c r="AX30" s="763"/>
      <c r="AY30" s="763"/>
      <c r="AZ30" s="763"/>
      <c r="BA30" s="763"/>
      <c r="BB30" s="763"/>
      <c r="BC30" s="763"/>
      <c r="BD30" s="763"/>
      <c r="BE30" s="763"/>
      <c r="BF30" s="763"/>
      <c r="BG30" s="763"/>
      <c r="BH30" s="763"/>
      <c r="BI30" s="763"/>
      <c r="BJ30" s="763"/>
      <c r="BK30" s="763"/>
      <c r="BL30" s="763"/>
      <c r="BM30" s="763"/>
      <c r="BN30" s="763"/>
      <c r="BO30" s="763"/>
      <c r="BP30" s="763"/>
      <c r="BQ30" s="763"/>
      <c r="BR30" s="763"/>
      <c r="BS30" s="763"/>
      <c r="BT30" s="763"/>
      <c r="BU30" s="763"/>
      <c r="BV30" s="763"/>
      <c r="BW30" s="763"/>
      <c r="BX30" s="763"/>
      <c r="BY30" s="763"/>
      <c r="BZ30" s="763"/>
      <c r="CA30" s="763"/>
    </row>
    <row r="31" spans="1:79">
      <c r="A31" s="24"/>
      <c r="B31" s="767" t="s">
        <v>25</v>
      </c>
      <c r="C31" s="767"/>
      <c r="D31" s="245"/>
      <c r="E31" s="698" t="str">
        <f ca="1">IF(ISERROR($T$14/E26),"-",$T$14/E26)</f>
        <v>-</v>
      </c>
      <c r="F31" s="698"/>
      <c r="G31" s="698" t="str">
        <f ca="1">IF(ISERROR($T$14/G26),"-",$T$14/G26)</f>
        <v>-</v>
      </c>
      <c r="H31" s="698"/>
      <c r="I31" s="698" t="str">
        <f ca="1">IF(ISERROR($T$14/I26),"-",$T$14/I26)</f>
        <v>-</v>
      </c>
      <c r="J31" s="698"/>
      <c r="K31" s="698" t="str">
        <f ca="1">IF(ISERROR($T$14/K26),"-",$T$14/K26)</f>
        <v>-</v>
      </c>
      <c r="L31" s="698"/>
      <c r="M31" s="698" t="str">
        <f ca="1">IF(ISERROR($T$14/M26),"-",$T$14/M26)</f>
        <v>-</v>
      </c>
      <c r="N31" s="698"/>
      <c r="O31" s="698" t="str">
        <f ca="1">IF(ISERROR($T$14/O26),"-",$T$14/O26)</f>
        <v>-</v>
      </c>
      <c r="P31" s="698"/>
      <c r="Q31" s="698" t="str">
        <f ca="1">IF(ISERROR($T$14/Q26),"-",$T$14/Q26)</f>
        <v>-</v>
      </c>
      <c r="R31" s="698"/>
      <c r="S31" s="698" t="str">
        <f ca="1">IF(ISERROR($T$14/S26),"-",$T$14/S26)</f>
        <v>-</v>
      </c>
      <c r="T31" s="698"/>
      <c r="U31" s="698" t="str">
        <f ca="1">IF(ISERROR($T$14/U26),"-",$T$14/U26)</f>
        <v>-</v>
      </c>
      <c r="V31" s="698"/>
      <c r="W31" s="86"/>
    </row>
    <row r="32" spans="1:79" ht="10.5" customHeight="1">
      <c r="A32" s="24"/>
      <c r="B32" s="69"/>
      <c r="C32" s="69"/>
      <c r="D32" s="69"/>
      <c r="E32" s="69"/>
      <c r="F32" s="69"/>
      <c r="G32" s="69"/>
      <c r="H32" s="69"/>
      <c r="I32" s="69"/>
      <c r="J32" s="69"/>
      <c r="K32" s="69"/>
      <c r="L32" s="69"/>
      <c r="M32" s="69"/>
      <c r="N32" s="69"/>
      <c r="O32" s="69"/>
      <c r="P32" s="69"/>
      <c r="Q32" s="69"/>
      <c r="R32" s="69"/>
      <c r="S32" s="69"/>
      <c r="T32" s="69"/>
      <c r="U32" s="69"/>
      <c r="V32" s="69"/>
      <c r="W32" s="87"/>
    </row>
    <row r="33" spans="1:24">
      <c r="A33" s="24"/>
      <c r="B33" s="722" t="s">
        <v>26</v>
      </c>
      <c r="C33" s="722"/>
      <c r="D33" s="722"/>
      <c r="E33" s="722"/>
      <c r="F33" s="722"/>
      <c r="G33" s="722"/>
      <c r="H33" s="722"/>
      <c r="I33" s="722"/>
      <c r="J33" s="722"/>
      <c r="K33" s="722"/>
      <c r="L33" s="88"/>
      <c r="M33" s="722" t="s">
        <v>27</v>
      </c>
      <c r="N33" s="722"/>
      <c r="O33" s="722"/>
      <c r="P33" s="722"/>
      <c r="Q33" s="722"/>
      <c r="R33" s="722"/>
      <c r="S33" s="722"/>
      <c r="T33" s="722"/>
      <c r="U33" s="722"/>
      <c r="V33" s="722"/>
    </row>
    <row r="34" spans="1:24" ht="3.75" customHeight="1">
      <c r="A34" s="24"/>
      <c r="B34" s="15"/>
      <c r="C34" s="69"/>
      <c r="D34" s="69"/>
      <c r="E34" s="69"/>
      <c r="F34" s="69"/>
      <c r="G34" s="69"/>
      <c r="H34" s="69"/>
      <c r="I34" s="69"/>
      <c r="J34" s="69"/>
      <c r="K34" s="69"/>
      <c r="L34" s="69"/>
      <c r="M34" s="15"/>
      <c r="N34" s="69"/>
      <c r="O34" s="69"/>
      <c r="P34" s="69"/>
      <c r="Q34" s="69"/>
      <c r="R34" s="69"/>
      <c r="S34" s="69"/>
      <c r="T34" s="69"/>
      <c r="U34" s="69"/>
      <c r="V34" s="25"/>
    </row>
    <row r="35" spans="1:24" ht="10.5" customHeight="1">
      <c r="A35" s="24"/>
      <c r="B35" s="89" t="s">
        <v>28</v>
      </c>
      <c r="C35" s="90"/>
      <c r="D35" s="90"/>
      <c r="E35" s="90"/>
      <c r="F35" s="90"/>
      <c r="G35" s="90"/>
      <c r="H35" s="90"/>
      <c r="I35" s="765">
        <f ca="1">U26/((1+(T40))^((EDATE($K$25,60)-T7)/365.25))</f>
        <v>6.8253252460475826</v>
      </c>
      <c r="J35" s="765"/>
      <c r="K35" s="765"/>
      <c r="L35" s="69"/>
      <c r="M35" s="91" t="s">
        <v>29</v>
      </c>
      <c r="N35" s="69"/>
      <c r="O35" s="69"/>
      <c r="P35" s="69"/>
      <c r="Q35" s="69"/>
      <c r="R35" s="69"/>
      <c r="S35" s="69"/>
      <c r="T35" s="738" t="str">
        <f ca="1">IF(ISERROR(VLOOKUP(EOMONTH(PRICE_DATE,-1)&amp;$T$12,[1]Sheet1!B$2:F$1048576,4,FALSE/100)),IF(ISERROR(VLOOKUP(EOMONTH(PRICE_DATE,-2)&amp;$T$12,[1]Sheet1!B$2:F$1048576,4,FALSE)/100),"-",VLOOKUP(EOMONTH(PRICE_DATE,-2)&amp;$T$12,[1]Sheet1!B$2:F$1048576,4,FALSE)/100),VLOOKUP(EOMONTH(PRICE_DATE,-1)&amp;$T$12,[1]Sheet1!B$2:F$1048576,4,FALSE)/100)</f>
        <v>-</v>
      </c>
      <c r="U35" s="738"/>
      <c r="V35" s="738"/>
    </row>
    <row r="36" spans="1:24" ht="10.5" customHeight="1">
      <c r="A36" s="24"/>
      <c r="B36" s="89" t="s">
        <v>30</v>
      </c>
      <c r="C36" s="90"/>
      <c r="D36" s="90"/>
      <c r="E36" s="90"/>
      <c r="F36" s="90"/>
      <c r="G36" s="90"/>
      <c r="H36" s="90"/>
      <c r="I36" s="765">
        <f ca="1">I35*(1+T40)</f>
        <v>7.1362567294786396</v>
      </c>
      <c r="J36" s="765"/>
      <c r="K36" s="765"/>
      <c r="L36" s="69"/>
      <c r="M36" s="92" t="s">
        <v>31</v>
      </c>
      <c r="N36" s="69"/>
      <c r="O36" s="69"/>
      <c r="P36" s="69"/>
      <c r="Q36" s="69"/>
      <c r="R36" s="69"/>
      <c r="S36" s="69"/>
      <c r="T36" s="738">
        <f ca="1">IF(ISERROR(VLOOKUP(EOMONTH(PRICE_DATE,-1)&amp;$F$6,[1]Sheet1!C$2:H$1048576,6,FALSE/100)),IF(ISERROR(VLOOKUP(EOMONTH(PRICE_DATE,-2)&amp;$F$6,[1]Sheet1!C$2:H$1048576,6,FALSE)/100),"-",VLOOKUP(EOMONTH(PRICE_DATE,-2)&amp;$F$6,[1]Sheet1!C$2:H$1048576,6,FALSE)/100),VLOOKUP(EOMONTH(PRICE_DATE,-1)&amp;$F$6,[1]Sheet1!C$2:H$1048576,6,FALSE)/100)</f>
        <v>0.04</v>
      </c>
      <c r="U36" s="738"/>
      <c r="V36" s="738"/>
    </row>
    <row r="37" spans="1:24" ht="10.5" customHeight="1">
      <c r="A37" s="24"/>
      <c r="B37" s="89" t="s">
        <v>32</v>
      </c>
      <c r="C37" s="90"/>
      <c r="D37" s="90"/>
      <c r="E37" s="90"/>
      <c r="F37" s="90"/>
      <c r="G37" s="90"/>
      <c r="H37" s="90"/>
      <c r="I37" s="766"/>
      <c r="J37" s="766"/>
      <c r="K37" s="766"/>
      <c r="L37" s="69"/>
      <c r="M37" s="92" t="s">
        <v>33</v>
      </c>
      <c r="N37" s="69"/>
      <c r="O37" s="69"/>
      <c r="P37" s="69"/>
      <c r="Q37" s="69"/>
      <c r="R37" s="69"/>
      <c r="S37" s="69"/>
      <c r="T37" s="739">
        <v>0.01</v>
      </c>
      <c r="U37" s="739"/>
      <c r="V37" s="739"/>
    </row>
    <row r="38" spans="1:24" ht="10.5" customHeight="1">
      <c r="A38" s="24"/>
      <c r="B38" s="89" t="s">
        <v>34</v>
      </c>
      <c r="C38" s="90"/>
      <c r="D38" s="90"/>
      <c r="E38" s="90"/>
      <c r="F38" s="90"/>
      <c r="G38" s="90"/>
      <c r="H38" s="90"/>
      <c r="I38" s="761">
        <f ca="1">I36*I37</f>
        <v>0</v>
      </c>
      <c r="J38" s="761"/>
      <c r="K38" s="761"/>
      <c r="L38" s="69"/>
      <c r="M38" s="91" t="s">
        <v>35</v>
      </c>
      <c r="N38" s="69"/>
      <c r="O38" s="69"/>
      <c r="P38" s="69"/>
      <c r="Q38" s="69"/>
      <c r="R38" s="69"/>
      <c r="S38" s="69"/>
      <c r="T38" s="738">
        <f>ESG_IMPACT</f>
        <v>-4.4444444444444418E-3</v>
      </c>
      <c r="U38" s="738"/>
      <c r="V38" s="738"/>
    </row>
    <row r="39" spans="1:24" ht="10.5" customHeight="1">
      <c r="A39" s="24"/>
      <c r="B39" s="244" t="s">
        <v>36</v>
      </c>
      <c r="C39" s="247"/>
      <c r="D39" s="247"/>
      <c r="E39" s="247"/>
      <c r="F39" s="247"/>
      <c r="G39" s="247"/>
      <c r="H39" s="247"/>
      <c r="I39" s="724" t="e">
        <f ca="1">(U28/((1+(T40))^(MAX(0,(EDATE($K$25,60)-T7))/365.25))+S28/((1+(T40))^(MAX((EDATE($K$25,48)-T7),0)/365.25))+Q28/((1+(T40))^(MAX((EDATE($K$25,36)-T7),0)/365.25))+O28/((1+(T40))^(MAX((EDATE($K$25,24)-T7),0)/365.25))+(M28-Y5)/((1+(T40))^(MAX((EDATE($K$25,12)-T7),0)/365.25))+IF(ISERROR(IF(AND(PRICE_DATE-Y1&lt;0,Y2-FY0_DATE&lt;=0,FY0_DATE&lt;Y1,PRICE_DATE-FY0_DATE&lt;=366),Y4,0)),0,IF(AND(PRICE_DATE-Y1&lt;0,Y2-FY0_DATE&lt;=0,FY0_DATE&lt;Y1,PRICE_DATE-FY0_DATE&lt;=366),Y4,0)))*(1+BARINGS_DISCOUNT_RATE)</f>
        <v>#NAME?</v>
      </c>
      <c r="J39" s="724"/>
      <c r="K39" s="724"/>
      <c r="L39" s="69"/>
      <c r="M39" s="25"/>
      <c r="N39" s="25"/>
      <c r="O39" s="25"/>
      <c r="P39" s="25"/>
      <c r="Q39" s="25"/>
      <c r="R39" s="25"/>
      <c r="S39" s="25"/>
      <c r="T39" s="25"/>
      <c r="U39" s="25"/>
      <c r="V39" s="25"/>
    </row>
    <row r="40" spans="1:24" ht="12.75" customHeight="1">
      <c r="A40" s="24"/>
      <c r="B40" s="70" t="s">
        <v>37</v>
      </c>
      <c r="C40" s="72"/>
      <c r="D40" s="72"/>
      <c r="E40" s="72"/>
      <c r="F40" s="72"/>
      <c r="G40" s="72"/>
      <c r="H40" s="72"/>
      <c r="I40" s="719" t="e">
        <f ca="1">(I38+I39)</f>
        <v>#NAME?</v>
      </c>
      <c r="J40" s="719"/>
      <c r="K40" s="719"/>
      <c r="L40" s="69"/>
      <c r="M40" s="94" t="s">
        <v>38</v>
      </c>
      <c r="N40" s="93"/>
      <c r="O40" s="93"/>
      <c r="P40" s="93"/>
      <c r="Q40" s="93"/>
      <c r="R40" s="93"/>
      <c r="S40" s="93"/>
      <c r="T40" s="737">
        <f ca="1">SUM($T$35:$T$38)</f>
        <v>4.5555555555555557E-2</v>
      </c>
      <c r="U40" s="737"/>
      <c r="V40" s="737"/>
    </row>
    <row r="41" spans="1:24" ht="10.5" customHeight="1" thickBot="1">
      <c r="A41" s="24"/>
      <c r="B41" s="70"/>
      <c r="C41" s="72"/>
      <c r="D41" s="72"/>
      <c r="E41" s="72"/>
      <c r="F41" s="72"/>
      <c r="G41" s="72"/>
      <c r="H41" s="72"/>
      <c r="I41" s="72"/>
      <c r="J41" s="72"/>
      <c r="K41" s="72"/>
      <c r="L41" s="69"/>
      <c r="M41" s="95"/>
      <c r="N41" s="72"/>
      <c r="O41" s="72"/>
      <c r="P41" s="72"/>
      <c r="Q41" s="72"/>
      <c r="R41" s="72"/>
      <c r="S41" s="72"/>
      <c r="T41" s="28"/>
      <c r="U41" s="96"/>
      <c r="V41" s="96"/>
    </row>
    <row r="42" spans="1:24" ht="20.25" customHeight="1" thickBot="1">
      <c r="A42" s="24"/>
      <c r="B42" s="89"/>
      <c r="C42" s="25"/>
      <c r="D42" s="25"/>
      <c r="E42" s="25"/>
      <c r="F42" s="25"/>
      <c r="G42" s="25"/>
      <c r="H42" s="25"/>
      <c r="I42" s="25"/>
      <c r="J42" s="25"/>
      <c r="K42" s="25"/>
      <c r="L42" s="69"/>
      <c r="M42" s="97" t="s">
        <v>39</v>
      </c>
      <c r="N42" s="98"/>
      <c r="O42" s="98"/>
      <c r="P42" s="98"/>
      <c r="Q42" s="98"/>
      <c r="R42" s="98"/>
      <c r="S42" s="99"/>
      <c r="T42" s="734" t="e">
        <f ca="1">(I40-T14)/T14</f>
        <v>#NAME?</v>
      </c>
      <c r="U42" s="735"/>
      <c r="V42" s="736"/>
    </row>
    <row r="43" spans="1:24" ht="10.5" customHeight="1">
      <c r="A43" s="24"/>
      <c r="B43" s="69"/>
      <c r="C43" s="69"/>
      <c r="D43" s="69"/>
      <c r="E43" s="69"/>
      <c r="F43" s="69"/>
      <c r="G43" s="69"/>
      <c r="H43" s="69"/>
      <c r="I43" s="69"/>
      <c r="J43" s="69"/>
      <c r="K43" s="69"/>
      <c r="L43" s="69"/>
      <c r="M43" s="100"/>
      <c r="N43" s="69"/>
      <c r="O43" s="69"/>
      <c r="P43" s="69"/>
      <c r="Q43" s="69"/>
      <c r="R43" s="69"/>
      <c r="S43" s="69"/>
      <c r="T43" s="69"/>
      <c r="U43" s="69"/>
      <c r="V43" s="25"/>
    </row>
    <row r="44" spans="1:24">
      <c r="A44" s="24"/>
      <c r="B44" s="722" t="s">
        <v>40</v>
      </c>
      <c r="C44" s="722"/>
      <c r="D44" s="722"/>
      <c r="E44" s="722"/>
      <c r="F44" s="722"/>
      <c r="G44" s="722"/>
      <c r="H44" s="722"/>
      <c r="I44" s="722"/>
      <c r="J44" s="722"/>
      <c r="K44" s="722"/>
      <c r="L44" s="88"/>
      <c r="M44" s="722" t="s">
        <v>41</v>
      </c>
      <c r="N44" s="722"/>
      <c r="O44" s="722"/>
      <c r="P44" s="722"/>
      <c r="Q44" s="722"/>
      <c r="R44" s="722"/>
      <c r="S44" s="722"/>
      <c r="T44" s="722"/>
      <c r="U44" s="722"/>
      <c r="V44" s="722"/>
    </row>
    <row r="45" spans="1:24" ht="3.75" customHeight="1">
      <c r="A45" s="24"/>
      <c r="B45" s="69"/>
      <c r="C45" s="69"/>
      <c r="D45" s="69"/>
      <c r="E45" s="69"/>
      <c r="F45" s="69"/>
      <c r="G45" s="69"/>
      <c r="H45" s="69"/>
      <c r="I45" s="69"/>
      <c r="J45" s="69"/>
      <c r="K45" s="69"/>
      <c r="L45" s="69"/>
      <c r="M45" s="100"/>
      <c r="N45" s="69"/>
      <c r="O45" s="69"/>
      <c r="P45" s="69"/>
      <c r="Q45" s="69"/>
      <c r="R45" s="69"/>
      <c r="S45" s="69"/>
      <c r="T45" s="69"/>
      <c r="U45" s="69"/>
      <c r="V45" s="25"/>
    </row>
    <row r="46" spans="1:24" ht="10.5" customHeight="1">
      <c r="A46" s="24"/>
      <c r="B46" s="89" t="s">
        <v>42</v>
      </c>
      <c r="C46" s="25"/>
      <c r="D46" s="69"/>
      <c r="E46" s="69"/>
      <c r="F46" s="69"/>
      <c r="G46" s="69"/>
      <c r="H46" s="69"/>
      <c r="I46" s="752">
        <f>(1+(EPS_FY0-EPS_3Y)/ABS(EPS_3Y))^(1/3)-1</f>
        <v>0.26154558269707051</v>
      </c>
      <c r="J46" s="752"/>
      <c r="K46" s="752"/>
      <c r="L46" s="101"/>
      <c r="M46" s="92" t="s">
        <v>43</v>
      </c>
      <c r="N46" s="69"/>
      <c r="O46" s="69"/>
      <c r="P46" s="69"/>
      <c r="Q46" s="69"/>
      <c r="R46" s="69"/>
      <c r="S46" s="69"/>
      <c r="T46" s="750" t="e">
        <f>#REF!</f>
        <v>#REF!</v>
      </c>
      <c r="U46" s="750"/>
      <c r="V46" s="750"/>
    </row>
    <row r="47" spans="1:24" ht="10.5" customHeight="1">
      <c r="A47" s="24"/>
      <c r="B47" s="89" t="s">
        <v>44</v>
      </c>
      <c r="C47" s="25"/>
      <c r="D47" s="69"/>
      <c r="E47" s="69"/>
      <c r="F47" s="69"/>
      <c r="G47" s="69"/>
      <c r="H47" s="69"/>
      <c r="I47" s="754">
        <f>M27</f>
        <v>0.18613935299391646</v>
      </c>
      <c r="J47" s="754"/>
      <c r="K47" s="754"/>
      <c r="L47" s="102"/>
      <c r="M47" s="92" t="s">
        <v>12</v>
      </c>
      <c r="N47" s="69"/>
      <c r="O47" s="69"/>
      <c r="P47" s="69"/>
      <c r="Q47" s="69"/>
      <c r="R47" s="69"/>
      <c r="S47" s="69"/>
      <c r="T47" s="750">
        <v>0.04</v>
      </c>
      <c r="U47" s="750"/>
      <c r="V47" s="750"/>
    </row>
    <row r="48" spans="1:24" ht="10.5" customHeight="1">
      <c r="A48" s="24"/>
      <c r="B48" s="89" t="s">
        <v>45</v>
      </c>
      <c r="C48" s="25"/>
      <c r="D48" s="69"/>
      <c r="E48" s="69"/>
      <c r="F48" s="69"/>
      <c r="G48" s="69"/>
      <c r="H48" s="69"/>
      <c r="I48" s="752">
        <f>(1+(EPS_FY5-EPS_FY0)/ABS(EPS_FY0))^0.2-1</f>
        <v>0.14010559079021601</v>
      </c>
      <c r="J48" s="752"/>
      <c r="K48" s="752"/>
      <c r="L48" s="101"/>
      <c r="M48" s="92" t="s">
        <v>46</v>
      </c>
      <c r="N48" s="69"/>
      <c r="O48" s="69"/>
      <c r="P48" s="69"/>
      <c r="Q48" s="69"/>
      <c r="R48" s="69"/>
      <c r="S48" s="69"/>
      <c r="T48" s="755" t="e">
        <f>T46/T47</f>
        <v>#REF!</v>
      </c>
      <c r="U48" s="755"/>
      <c r="V48" s="755"/>
      <c r="X48" s="278"/>
    </row>
    <row r="49" spans="1:22" ht="10.5" customHeight="1">
      <c r="A49" s="24"/>
      <c r="B49" s="103"/>
      <c r="C49" s="25"/>
      <c r="D49" s="69"/>
      <c r="E49" s="69"/>
      <c r="F49" s="69"/>
      <c r="G49" s="69"/>
      <c r="H49" s="69"/>
      <c r="I49" s="756"/>
      <c r="J49" s="756"/>
      <c r="K49" s="756"/>
      <c r="L49" s="104"/>
      <c r="M49" s="92" t="s">
        <v>13</v>
      </c>
      <c r="N49" s="69"/>
      <c r="O49" s="69"/>
      <c r="P49" s="69"/>
      <c r="Q49" s="69"/>
      <c r="R49" s="69"/>
      <c r="S49" s="69"/>
      <c r="T49" s="726" t="e">
        <f>#REF!</f>
        <v>#REF!</v>
      </c>
      <c r="U49" s="726"/>
      <c r="V49" s="726"/>
    </row>
    <row r="50" spans="1:22" ht="10.5" customHeight="1" thickBot="1">
      <c r="A50" s="24"/>
      <c r="B50" s="69"/>
      <c r="C50" s="69"/>
      <c r="D50" s="69"/>
      <c r="E50" s="69"/>
      <c r="F50" s="69"/>
      <c r="G50" s="69"/>
      <c r="H50" s="69"/>
      <c r="I50" s="69"/>
      <c r="J50" s="69"/>
      <c r="K50" s="69"/>
      <c r="L50" s="69"/>
      <c r="M50" s="92" t="s">
        <v>47</v>
      </c>
      <c r="N50" s="69"/>
      <c r="O50" s="69"/>
      <c r="P50" s="69"/>
      <c r="Q50" s="69"/>
      <c r="R50" s="69"/>
      <c r="S50" s="69"/>
      <c r="T50" s="746" t="e">
        <f>T48*T49</f>
        <v>#REF!</v>
      </c>
      <c r="U50" s="746"/>
      <c r="V50" s="746"/>
    </row>
    <row r="51" spans="1:22" ht="12.75" customHeight="1" thickBot="1">
      <c r="A51" s="24"/>
      <c r="B51" s="69"/>
      <c r="C51" s="69"/>
      <c r="D51" s="69"/>
      <c r="E51" s="69"/>
      <c r="F51" s="69"/>
      <c r="G51" s="69"/>
      <c r="H51" s="69"/>
      <c r="I51" s="69"/>
      <c r="J51" s="69"/>
      <c r="K51" s="69"/>
      <c r="L51" s="69"/>
      <c r="M51" s="105" t="s">
        <v>48</v>
      </c>
      <c r="N51" s="88"/>
      <c r="O51" s="88"/>
      <c r="P51" s="88"/>
      <c r="Q51" s="88"/>
      <c r="R51" s="88"/>
      <c r="S51" s="88"/>
      <c r="T51" s="747" t="e">
        <f ca="1">(T50-T14)/T14</f>
        <v>#REF!</v>
      </c>
      <c r="U51" s="748"/>
      <c r="V51" s="749"/>
    </row>
    <row r="52" spans="1:22" ht="9.75" customHeight="1">
      <c r="A52" s="24"/>
      <c r="B52" s="69"/>
      <c r="C52" s="69"/>
      <c r="D52" s="69"/>
      <c r="E52" s="69"/>
      <c r="F52" s="69"/>
      <c r="G52" s="69"/>
      <c r="H52" s="69"/>
      <c r="I52" s="69"/>
      <c r="J52" s="69"/>
      <c r="K52" s="69"/>
      <c r="L52" s="69"/>
      <c r="M52" s="106"/>
      <c r="N52" s="69"/>
      <c r="O52" s="69"/>
      <c r="P52" s="69"/>
      <c r="Q52" s="69"/>
      <c r="R52" s="69"/>
      <c r="S52" s="69"/>
      <c r="T52" s="29"/>
      <c r="U52" s="107"/>
      <c r="V52" s="108"/>
    </row>
    <row r="53" spans="1:22" ht="9.75" customHeight="1">
      <c r="A53" s="24"/>
      <c r="B53" s="69"/>
      <c r="C53" s="69"/>
      <c r="D53" s="69"/>
      <c r="E53" s="69"/>
      <c r="F53" s="69"/>
      <c r="G53" s="69"/>
      <c r="H53" s="69"/>
      <c r="I53" s="69"/>
      <c r="J53" s="69"/>
      <c r="K53" s="69"/>
      <c r="L53" s="69"/>
      <c r="M53" s="91" t="s">
        <v>8</v>
      </c>
      <c r="N53" s="69"/>
      <c r="O53" s="69"/>
      <c r="P53" s="69"/>
      <c r="Q53" s="69"/>
      <c r="R53" s="69"/>
      <c r="S53" s="69"/>
      <c r="T53" s="750" t="e">
        <f>#REF!</f>
        <v>#REF!</v>
      </c>
      <c r="U53" s="750"/>
      <c r="V53" s="750"/>
    </row>
    <row r="54" spans="1:22" ht="9.75" customHeight="1">
      <c r="A54" s="24"/>
      <c r="B54" s="69"/>
      <c r="C54" s="69"/>
      <c r="D54" s="69"/>
      <c r="E54" s="69"/>
      <c r="F54" s="69"/>
      <c r="G54" s="69"/>
      <c r="H54" s="69"/>
      <c r="I54" s="69"/>
      <c r="J54" s="69"/>
      <c r="K54" s="69"/>
      <c r="L54" s="69"/>
      <c r="M54" s="91" t="s">
        <v>14</v>
      </c>
      <c r="N54" s="69"/>
      <c r="O54" s="69"/>
      <c r="P54" s="69"/>
      <c r="Q54" s="69"/>
      <c r="R54" s="69"/>
      <c r="S54" s="69"/>
      <c r="T54" s="750">
        <v>0.109</v>
      </c>
      <c r="U54" s="750"/>
      <c r="V54" s="750"/>
    </row>
    <row r="55" spans="1:22" ht="9.75" customHeight="1">
      <c r="A55" s="24"/>
      <c r="B55" s="69"/>
      <c r="C55" s="69"/>
      <c r="D55" s="69"/>
      <c r="E55" s="69"/>
      <c r="F55" s="69"/>
      <c r="G55" s="69"/>
      <c r="H55" s="69"/>
      <c r="I55" s="69"/>
      <c r="J55" s="69"/>
      <c r="K55" s="69"/>
      <c r="L55" s="69"/>
      <c r="M55" s="109" t="s">
        <v>15</v>
      </c>
      <c r="N55" s="69"/>
      <c r="O55" s="69"/>
      <c r="P55" s="69"/>
      <c r="Q55" s="69"/>
      <c r="R55" s="69"/>
      <c r="S55" s="69"/>
      <c r="T55" s="751" t="e">
        <f>T53/T54</f>
        <v>#REF!</v>
      </c>
      <c r="U55" s="751"/>
      <c r="V55" s="751"/>
    </row>
    <row r="56" spans="1:22" ht="9.75" customHeight="1">
      <c r="A56" s="24"/>
      <c r="B56" s="69"/>
      <c r="C56" s="69"/>
      <c r="D56" s="69"/>
      <c r="E56" s="69"/>
      <c r="F56" s="69"/>
      <c r="G56" s="69"/>
      <c r="H56" s="69"/>
      <c r="I56" s="69"/>
      <c r="J56" s="69"/>
      <c r="K56" s="69"/>
      <c r="L56" s="69"/>
      <c r="M56" s="109"/>
      <c r="N56" s="69"/>
      <c r="O56" s="69"/>
      <c r="P56" s="69"/>
      <c r="Q56" s="69"/>
      <c r="R56" s="69"/>
      <c r="S56" s="69"/>
      <c r="T56" s="110"/>
      <c r="U56" s="110"/>
      <c r="V56" s="30"/>
    </row>
    <row r="57" spans="1:22">
      <c r="A57" s="24"/>
      <c r="B57" s="69"/>
      <c r="C57" s="69"/>
      <c r="D57" s="69"/>
      <c r="E57" s="69"/>
      <c r="F57" s="69"/>
      <c r="G57" s="69"/>
      <c r="H57" s="69"/>
      <c r="I57" s="69"/>
      <c r="J57" s="69"/>
      <c r="K57" s="69"/>
      <c r="L57" s="69"/>
      <c r="M57" s="722" t="s">
        <v>49</v>
      </c>
      <c r="N57" s="722"/>
      <c r="O57" s="722"/>
      <c r="P57" s="722"/>
      <c r="Q57" s="722"/>
      <c r="R57" s="722"/>
      <c r="S57" s="722"/>
      <c r="T57" s="722"/>
      <c r="U57" s="722"/>
      <c r="V57" s="722"/>
    </row>
    <row r="58" spans="1:22" ht="3.75" customHeight="1">
      <c r="A58" s="24"/>
      <c r="B58" s="69"/>
      <c r="C58" s="69"/>
      <c r="D58" s="69"/>
      <c r="E58" s="69"/>
      <c r="F58" s="69"/>
      <c r="G58" s="69"/>
      <c r="H58" s="69"/>
      <c r="I58" s="69"/>
      <c r="J58" s="69"/>
      <c r="K58" s="69"/>
      <c r="L58" s="69"/>
      <c r="M58" s="100"/>
      <c r="N58" s="69"/>
      <c r="O58" s="69"/>
      <c r="P58" s="69"/>
      <c r="Q58" s="69"/>
      <c r="R58" s="69"/>
      <c r="S58" s="69"/>
      <c r="T58" s="110"/>
      <c r="U58" s="110"/>
      <c r="V58" s="30"/>
    </row>
    <row r="59" spans="1:22" ht="10.5" customHeight="1">
      <c r="A59" s="24"/>
      <c r="B59" s="69"/>
      <c r="C59" s="69"/>
      <c r="D59" s="69"/>
      <c r="E59" s="69"/>
      <c r="F59" s="69"/>
      <c r="G59" s="69"/>
      <c r="H59" s="69"/>
      <c r="I59" s="69"/>
      <c r="J59" s="69"/>
      <c r="K59" s="69"/>
      <c r="L59" s="69"/>
      <c r="M59" s="92" t="s">
        <v>16</v>
      </c>
      <c r="N59" s="69"/>
      <c r="O59" s="69"/>
      <c r="P59" s="69"/>
      <c r="Q59" s="69"/>
      <c r="R59" s="69"/>
      <c r="S59" s="69"/>
      <c r="T59" s="732">
        <f>M26</f>
        <v>5.1077771181556209</v>
      </c>
      <c r="U59" s="732"/>
      <c r="V59" s="732"/>
    </row>
    <row r="60" spans="1:22" ht="10.5" customHeight="1">
      <c r="A60" s="24"/>
      <c r="B60" s="69"/>
      <c r="C60" s="69"/>
      <c r="D60" s="69"/>
      <c r="E60" s="69"/>
      <c r="F60" s="69"/>
      <c r="G60" s="69"/>
      <c r="H60" s="69"/>
      <c r="I60" s="69"/>
      <c r="J60" s="69"/>
      <c r="K60" s="69"/>
      <c r="L60" s="69"/>
      <c r="M60" s="92" t="s">
        <v>17</v>
      </c>
      <c r="N60" s="69"/>
      <c r="O60" s="69"/>
      <c r="P60" s="69"/>
      <c r="Q60" s="69"/>
      <c r="R60" s="69"/>
      <c r="S60" s="69"/>
      <c r="T60" s="733" t="str">
        <f ca="1">M31</f>
        <v>-</v>
      </c>
      <c r="U60" s="733"/>
      <c r="V60" s="733"/>
    </row>
    <row r="61" spans="1:22" ht="10.5" customHeight="1">
      <c r="A61" s="24"/>
      <c r="B61" s="69"/>
      <c r="C61" s="69"/>
      <c r="D61" s="69"/>
      <c r="E61" s="69"/>
      <c r="F61" s="69"/>
      <c r="G61" s="69"/>
      <c r="H61" s="69"/>
      <c r="I61" s="69"/>
      <c r="J61" s="69"/>
      <c r="K61" s="69"/>
      <c r="L61" s="69"/>
      <c r="M61" s="92" t="s">
        <v>18</v>
      </c>
      <c r="N61" s="69"/>
      <c r="O61" s="69"/>
      <c r="P61" s="69"/>
      <c r="Q61" s="69"/>
      <c r="R61" s="69"/>
      <c r="S61" s="69"/>
      <c r="T61" s="760">
        <v>21</v>
      </c>
      <c r="U61" s="760"/>
      <c r="V61" s="760"/>
    </row>
    <row r="62" spans="1:22" ht="10.5" customHeight="1">
      <c r="A62" s="24"/>
      <c r="B62" s="69"/>
      <c r="C62" s="69"/>
      <c r="D62" s="69"/>
      <c r="E62" s="69"/>
      <c r="F62" s="69"/>
      <c r="G62" s="69"/>
      <c r="H62" s="69"/>
      <c r="I62" s="69"/>
      <c r="J62" s="69"/>
      <c r="K62" s="69"/>
      <c r="L62" s="69"/>
      <c r="M62" s="92" t="s">
        <v>50</v>
      </c>
      <c r="N62" s="69"/>
      <c r="O62" s="69"/>
      <c r="P62" s="69"/>
      <c r="Q62" s="69"/>
      <c r="R62" s="69"/>
      <c r="S62" s="69"/>
      <c r="T62" s="733" t="e">
        <f ca="1">T60/T61</f>
        <v>#VALUE!</v>
      </c>
      <c r="U62" s="733"/>
      <c r="V62" s="733"/>
    </row>
    <row r="63" spans="1:22" ht="10.5" customHeight="1" thickBot="1">
      <c r="A63" s="24"/>
      <c r="B63" s="69"/>
      <c r="C63" s="69"/>
      <c r="D63" s="69"/>
      <c r="E63" s="69"/>
      <c r="F63" s="69"/>
      <c r="G63" s="69"/>
      <c r="H63" s="69"/>
      <c r="I63" s="69"/>
      <c r="J63" s="69"/>
      <c r="K63" s="69"/>
      <c r="L63" s="69"/>
      <c r="M63" s="91" t="s">
        <v>51</v>
      </c>
      <c r="N63" s="72"/>
      <c r="O63" s="72"/>
      <c r="P63" s="72"/>
      <c r="Q63" s="72"/>
      <c r="R63" s="72"/>
      <c r="S63" s="72"/>
      <c r="T63" s="753">
        <f>T59*T61</f>
        <v>107.26331948126804</v>
      </c>
      <c r="U63" s="753"/>
      <c r="V63" s="753"/>
    </row>
    <row r="64" spans="1:22" ht="12.75" customHeight="1" thickBot="1">
      <c r="A64" s="24"/>
      <c r="B64" s="69"/>
      <c r="C64" s="69"/>
      <c r="D64" s="69"/>
      <c r="E64" s="69"/>
      <c r="F64" s="69"/>
      <c r="G64" s="69"/>
      <c r="H64" s="69"/>
      <c r="I64" s="69"/>
      <c r="J64" s="69"/>
      <c r="K64" s="69"/>
      <c r="L64" s="69"/>
      <c r="M64" s="109" t="s">
        <v>52</v>
      </c>
      <c r="N64" s="111"/>
      <c r="O64" s="111"/>
      <c r="P64" s="111"/>
      <c r="Q64" s="111"/>
      <c r="R64" s="111"/>
      <c r="S64" s="111"/>
      <c r="T64" s="757" t="e">
        <f ca="1">(T63-T14)/T14</f>
        <v>#NAME?</v>
      </c>
      <c r="U64" s="758"/>
      <c r="V64" s="759"/>
    </row>
    <row r="65" spans="1:24" ht="10.5" customHeight="1">
      <c r="A65" s="24"/>
      <c r="B65" s="69"/>
      <c r="C65" s="69"/>
      <c r="D65" s="69"/>
      <c r="E65" s="69"/>
      <c r="F65" s="69"/>
      <c r="G65" s="69"/>
      <c r="H65" s="69"/>
      <c r="I65" s="69"/>
      <c r="J65" s="69"/>
      <c r="K65" s="69"/>
      <c r="L65" s="69"/>
      <c r="M65" s="69"/>
      <c r="N65" s="69"/>
      <c r="O65" s="69"/>
      <c r="P65" s="105"/>
      <c r="Q65" s="69"/>
      <c r="R65" s="69"/>
      <c r="S65" s="69"/>
      <c r="T65" s="69"/>
      <c r="U65" s="69"/>
      <c r="V65" s="69"/>
      <c r="W65" s="112"/>
      <c r="X65" s="112"/>
    </row>
    <row r="66" spans="1:24">
      <c r="A66" s="24"/>
      <c r="B66" s="722" t="s">
        <v>53</v>
      </c>
      <c r="C66" s="722"/>
      <c r="D66" s="722"/>
      <c r="E66" s="722"/>
      <c r="F66" s="722"/>
      <c r="G66" s="722"/>
      <c r="H66" s="722"/>
      <c r="I66" s="722"/>
      <c r="J66" s="722"/>
      <c r="K66" s="722"/>
      <c r="L66" s="722"/>
      <c r="M66" s="722"/>
      <c r="N66" s="722"/>
      <c r="O66" s="722"/>
      <c r="P66" s="722"/>
      <c r="Q66" s="722"/>
      <c r="R66" s="722"/>
      <c r="S66" s="722"/>
      <c r="T66" s="722"/>
      <c r="U66" s="722"/>
      <c r="V66" s="722"/>
      <c r="W66" s="86"/>
      <c r="X66" s="86"/>
    </row>
    <row r="67" spans="1:24" ht="15" customHeight="1">
      <c r="A67" s="24"/>
      <c r="B67" s="69"/>
      <c r="C67" s="69"/>
      <c r="D67" s="113" t="s">
        <v>54</v>
      </c>
      <c r="E67" s="69"/>
      <c r="F67" s="69"/>
      <c r="G67" s="69"/>
      <c r="H67" s="69"/>
      <c r="I67" s="69"/>
      <c r="J67" s="69"/>
      <c r="K67" s="69"/>
      <c r="L67" s="69"/>
      <c r="M67" s="69"/>
      <c r="N67" s="69"/>
      <c r="O67" s="25"/>
      <c r="P67" s="113" t="s">
        <v>55</v>
      </c>
      <c r="Q67" s="69"/>
      <c r="R67" s="69"/>
      <c r="S67" s="69"/>
      <c r="T67" s="69"/>
      <c r="U67" s="69"/>
      <c r="V67" s="25"/>
      <c r="W67" s="87"/>
      <c r="X67" s="87"/>
    </row>
    <row r="68" spans="1:24" ht="9.75" customHeight="1">
      <c r="A68" s="24"/>
      <c r="B68" s="69" t="s">
        <v>56</v>
      </c>
      <c r="C68" s="69"/>
      <c r="D68" s="740"/>
      <c r="E68" s="741"/>
      <c r="F68" s="741"/>
      <c r="G68" s="741"/>
      <c r="H68" s="741"/>
      <c r="I68" s="741"/>
      <c r="J68" s="742"/>
      <c r="K68" s="111"/>
      <c r="L68" s="111"/>
      <c r="M68" s="25"/>
      <c r="N68" s="69" t="s">
        <v>56</v>
      </c>
      <c r="O68" s="25"/>
      <c r="P68" s="740"/>
      <c r="Q68" s="741"/>
      <c r="R68" s="741"/>
      <c r="S68" s="741"/>
      <c r="T68" s="741"/>
      <c r="U68" s="741"/>
      <c r="V68" s="742"/>
      <c r="W68" s="87"/>
      <c r="X68" s="87"/>
    </row>
    <row r="69" spans="1:24" ht="25.5" customHeight="1">
      <c r="A69" s="24"/>
      <c r="B69" s="69"/>
      <c r="C69" s="69"/>
      <c r="D69" s="743"/>
      <c r="E69" s="744"/>
      <c r="F69" s="744"/>
      <c r="G69" s="744"/>
      <c r="H69" s="744"/>
      <c r="I69" s="744"/>
      <c r="J69" s="745"/>
      <c r="K69" s="111"/>
      <c r="L69" s="111"/>
      <c r="M69" s="69"/>
      <c r="N69" s="69"/>
      <c r="O69" s="25"/>
      <c r="P69" s="743"/>
      <c r="Q69" s="744"/>
      <c r="R69" s="744"/>
      <c r="S69" s="744"/>
      <c r="T69" s="744"/>
      <c r="U69" s="744"/>
      <c r="V69" s="745"/>
      <c r="W69" s="87"/>
      <c r="X69" s="87"/>
    </row>
    <row r="70" spans="1:24" ht="15" customHeight="1">
      <c r="A70" s="24"/>
      <c r="B70" s="69"/>
      <c r="C70" s="69"/>
      <c r="D70" s="113" t="s">
        <v>57</v>
      </c>
      <c r="E70" s="69"/>
      <c r="F70" s="69"/>
      <c r="G70" s="69"/>
      <c r="H70" s="69"/>
      <c r="I70" s="69"/>
      <c r="J70" s="69"/>
      <c r="K70" s="88"/>
      <c r="L70" s="88"/>
      <c r="M70" s="69"/>
      <c r="N70" s="69"/>
      <c r="O70" s="25"/>
      <c r="P70" s="113" t="s">
        <v>58</v>
      </c>
      <c r="Q70" s="69"/>
      <c r="R70" s="69"/>
      <c r="S70" s="69"/>
      <c r="T70" s="69"/>
      <c r="U70" s="69"/>
      <c r="V70" s="25"/>
      <c r="W70" s="87"/>
      <c r="X70" s="87"/>
    </row>
    <row r="71" spans="1:24" ht="9.75" customHeight="1">
      <c r="A71" s="24"/>
      <c r="B71" s="69" t="s">
        <v>56</v>
      </c>
      <c r="C71" s="69"/>
      <c r="D71" s="740"/>
      <c r="E71" s="741"/>
      <c r="F71" s="741"/>
      <c r="G71" s="741"/>
      <c r="H71" s="741"/>
      <c r="I71" s="741"/>
      <c r="J71" s="742"/>
      <c r="K71" s="111"/>
      <c r="L71" s="111"/>
      <c r="M71" s="25"/>
      <c r="N71" s="69" t="s">
        <v>56</v>
      </c>
      <c r="O71" s="25"/>
      <c r="P71" s="740"/>
      <c r="Q71" s="741"/>
      <c r="R71" s="741"/>
      <c r="S71" s="741"/>
      <c r="T71" s="741"/>
      <c r="U71" s="741"/>
      <c r="V71" s="742"/>
      <c r="W71" s="87"/>
      <c r="X71" s="87"/>
    </row>
    <row r="72" spans="1:24" ht="25.5" customHeight="1">
      <c r="A72" s="24"/>
      <c r="B72" s="69"/>
      <c r="C72" s="69"/>
      <c r="D72" s="743"/>
      <c r="E72" s="744"/>
      <c r="F72" s="744"/>
      <c r="G72" s="744"/>
      <c r="H72" s="744"/>
      <c r="I72" s="744"/>
      <c r="J72" s="745"/>
      <c r="K72" s="111"/>
      <c r="L72" s="111"/>
      <c r="M72" s="111"/>
      <c r="N72" s="69"/>
      <c r="O72" s="25"/>
      <c r="P72" s="743"/>
      <c r="Q72" s="744"/>
      <c r="R72" s="744"/>
      <c r="S72" s="744"/>
      <c r="T72" s="744"/>
      <c r="U72" s="744"/>
      <c r="V72" s="745"/>
      <c r="W72" s="87"/>
      <c r="X72" s="87"/>
    </row>
    <row r="73" spans="1:24">
      <c r="B73" s="87"/>
      <c r="C73" s="87"/>
      <c r="D73" s="87"/>
      <c r="E73" s="87"/>
      <c r="F73" s="87"/>
      <c r="G73" s="87"/>
      <c r="H73" s="87"/>
      <c r="I73" s="87"/>
      <c r="J73" s="87"/>
      <c r="K73" s="87"/>
      <c r="L73" s="87"/>
      <c r="M73" s="87"/>
      <c r="N73" s="87"/>
      <c r="P73" s="87"/>
      <c r="Q73" s="87"/>
      <c r="R73" s="87"/>
      <c r="S73" s="87"/>
      <c r="T73" s="87"/>
      <c r="U73" s="87"/>
      <c r="V73" s="87"/>
      <c r="W73" s="87"/>
      <c r="X73" s="87"/>
    </row>
    <row r="74" spans="1:24">
      <c r="B74" s="36"/>
      <c r="C74" s="36"/>
      <c r="D74" s="36"/>
      <c r="E74" s="36"/>
      <c r="F74" s="36"/>
      <c r="G74" s="36"/>
      <c r="H74" s="36"/>
      <c r="I74" s="36"/>
      <c r="J74" s="36"/>
      <c r="K74" s="36"/>
      <c r="L74" s="36"/>
      <c r="M74" s="36"/>
      <c r="N74" s="36"/>
      <c r="O74" s="36"/>
      <c r="P74" s="36"/>
      <c r="Q74" s="36"/>
      <c r="R74" s="36"/>
      <c r="S74" s="36"/>
      <c r="T74" s="36"/>
      <c r="U74" s="36"/>
      <c r="V74" s="36"/>
      <c r="W74" s="36"/>
      <c r="X74" s="36"/>
    </row>
  </sheetData>
  <sheetProtection password="A921" sheet="1" objects="1" scenarios="1" formatCells="0" formatColumns="0" formatRows="0" insertHyperlinks="0" autoFilter="0" pivotTables="0"/>
  <mergeCells count="198">
    <mergeCell ref="BH29:BH30"/>
    <mergeCell ref="BI29:BI30"/>
    <mergeCell ref="BJ29:BJ30"/>
    <mergeCell ref="BK29:BK30"/>
    <mergeCell ref="BL29:BL30"/>
    <mergeCell ref="BM29:BM30"/>
    <mergeCell ref="BN29:BN30"/>
    <mergeCell ref="BO29:BO30"/>
    <mergeCell ref="BP29:BP30"/>
    <mergeCell ref="BZ29:BZ30"/>
    <mergeCell ref="CA29:CA30"/>
    <mergeCell ref="BQ29:BQ30"/>
    <mergeCell ref="BR29:BR30"/>
    <mergeCell ref="BS29:BS30"/>
    <mergeCell ref="BT29:BT30"/>
    <mergeCell ref="BU29:BU30"/>
    <mergeCell ref="BV29:BV30"/>
    <mergeCell ref="BW29:BW30"/>
    <mergeCell ref="BX29:BX30"/>
    <mergeCell ref="BY29:BY30"/>
    <mergeCell ref="BA29:BA30"/>
    <mergeCell ref="AO29:AO30"/>
    <mergeCell ref="BB29:BB30"/>
    <mergeCell ref="BC29:BC30"/>
    <mergeCell ref="BD29:BD30"/>
    <mergeCell ref="BE29:BE30"/>
    <mergeCell ref="BF29:BF30"/>
    <mergeCell ref="BG29:BG30"/>
    <mergeCell ref="AP29:AP30"/>
    <mergeCell ref="AQ29:AQ30"/>
    <mergeCell ref="AR29:AR30"/>
    <mergeCell ref="AS29:AS30"/>
    <mergeCell ref="AT29:AT30"/>
    <mergeCell ref="AU29:AU30"/>
    <mergeCell ref="AV29:AV30"/>
    <mergeCell ref="AW29:AW30"/>
    <mergeCell ref="AX29:AX30"/>
    <mergeCell ref="AY29:AY30"/>
    <mergeCell ref="AZ29:AZ30"/>
    <mergeCell ref="AF29:AF30"/>
    <mergeCell ref="AG29:AG30"/>
    <mergeCell ref="AH29:AH30"/>
    <mergeCell ref="AI29:AI30"/>
    <mergeCell ref="AJ29:AJ30"/>
    <mergeCell ref="AK29:AK30"/>
    <mergeCell ref="AL29:AL30"/>
    <mergeCell ref="AM29:AM30"/>
    <mergeCell ref="AN29:AN30"/>
    <mergeCell ref="I38:K38"/>
    <mergeCell ref="Y29:Y30"/>
    <mergeCell ref="Z29:Z30"/>
    <mergeCell ref="AA29:AA30"/>
    <mergeCell ref="AB29:AB30"/>
    <mergeCell ref="AC29:AC30"/>
    <mergeCell ref="AD29:AD30"/>
    <mergeCell ref="X29:X30"/>
    <mergeCell ref="AE29:AE30"/>
    <mergeCell ref="B33:K33"/>
    <mergeCell ref="I35:K35"/>
    <mergeCell ref="I36:K36"/>
    <mergeCell ref="I37:K37"/>
    <mergeCell ref="B31:C31"/>
    <mergeCell ref="E31:F31"/>
    <mergeCell ref="G31:H31"/>
    <mergeCell ref="I31:J31"/>
    <mergeCell ref="K31:L31"/>
    <mergeCell ref="B30:C30"/>
    <mergeCell ref="E30:F30"/>
    <mergeCell ref="G30:H30"/>
    <mergeCell ref="O31:P31"/>
    <mergeCell ref="B29:C29"/>
    <mergeCell ref="T35:V35"/>
    <mergeCell ref="D71:J72"/>
    <mergeCell ref="P71:V72"/>
    <mergeCell ref="T50:V50"/>
    <mergeCell ref="T51:V51"/>
    <mergeCell ref="T53:V53"/>
    <mergeCell ref="T54:V54"/>
    <mergeCell ref="T55:V55"/>
    <mergeCell ref="B44:K44"/>
    <mergeCell ref="I46:K46"/>
    <mergeCell ref="T46:V46"/>
    <mergeCell ref="T62:V62"/>
    <mergeCell ref="T63:V63"/>
    <mergeCell ref="I47:K47"/>
    <mergeCell ref="T47:V47"/>
    <mergeCell ref="I48:K48"/>
    <mergeCell ref="T48:V48"/>
    <mergeCell ref="I49:K49"/>
    <mergeCell ref="T64:V64"/>
    <mergeCell ref="D68:J69"/>
    <mergeCell ref="P68:V69"/>
    <mergeCell ref="B66:V66"/>
    <mergeCell ref="M44:V44"/>
    <mergeCell ref="M57:V57"/>
    <mergeCell ref="T61:V61"/>
    <mergeCell ref="T59:V59"/>
    <mergeCell ref="T60:V60"/>
    <mergeCell ref="S28:T28"/>
    <mergeCell ref="T49:V49"/>
    <mergeCell ref="T42:V42"/>
    <mergeCell ref="T40:V40"/>
    <mergeCell ref="T38:V38"/>
    <mergeCell ref="T37:V37"/>
    <mergeCell ref="T36:V36"/>
    <mergeCell ref="U28:V28"/>
    <mergeCell ref="M29:N29"/>
    <mergeCell ref="AD1:AE1"/>
    <mergeCell ref="T22:V22"/>
    <mergeCell ref="T23:V23"/>
    <mergeCell ref="O5:T5"/>
    <mergeCell ref="T18:V18"/>
    <mergeCell ref="T15:V15"/>
    <mergeCell ref="T16:V16"/>
    <mergeCell ref="T20:V20"/>
    <mergeCell ref="T7:V7"/>
    <mergeCell ref="T12:V12"/>
    <mergeCell ref="O26:P26"/>
    <mergeCell ref="Q26:R26"/>
    <mergeCell ref="S26:T26"/>
    <mergeCell ref="Y1:Z1"/>
    <mergeCell ref="Y2:Z2"/>
    <mergeCell ref="Y4:Z4"/>
    <mergeCell ref="Y5:Z5"/>
    <mergeCell ref="Y6:Z6"/>
    <mergeCell ref="O4:T4"/>
    <mergeCell ref="B26:C26"/>
    <mergeCell ref="E26:F26"/>
    <mergeCell ref="G26:H26"/>
    <mergeCell ref="I40:K40"/>
    <mergeCell ref="U26:V26"/>
    <mergeCell ref="B27:C27"/>
    <mergeCell ref="E27:F27"/>
    <mergeCell ref="G27:H27"/>
    <mergeCell ref="I27:J27"/>
    <mergeCell ref="K27:L27"/>
    <mergeCell ref="O27:P27"/>
    <mergeCell ref="Q27:R27"/>
    <mergeCell ref="S27:T27"/>
    <mergeCell ref="U27:V27"/>
    <mergeCell ref="I30:J30"/>
    <mergeCell ref="K30:L30"/>
    <mergeCell ref="M33:V33"/>
    <mergeCell ref="I26:J26"/>
    <mergeCell ref="B28:C28"/>
    <mergeCell ref="E28:F28"/>
    <mergeCell ref="G28:H28"/>
    <mergeCell ref="I28:J28"/>
    <mergeCell ref="K28:L28"/>
    <mergeCell ref="I39:K39"/>
    <mergeCell ref="Q31:R31"/>
    <mergeCell ref="S31:T31"/>
    <mergeCell ref="M30:N30"/>
    <mergeCell ref="M31:N31"/>
    <mergeCell ref="U3:V3"/>
    <mergeCell ref="B9:M23"/>
    <mergeCell ref="T17:V17"/>
    <mergeCell ref="T19:V19"/>
    <mergeCell ref="T9:V9"/>
    <mergeCell ref="T8:V8"/>
    <mergeCell ref="T10:V10"/>
    <mergeCell ref="T11:V11"/>
    <mergeCell ref="U31:V31"/>
    <mergeCell ref="O30:P30"/>
    <mergeCell ref="Q30:R30"/>
    <mergeCell ref="E29:F29"/>
    <mergeCell ref="B25:C25"/>
    <mergeCell ref="E25:F25"/>
    <mergeCell ref="G25:H25"/>
    <mergeCell ref="I25:J25"/>
    <mergeCell ref="K25:L25"/>
    <mergeCell ref="S29:T29"/>
    <mergeCell ref="U29:V29"/>
    <mergeCell ref="O28:P28"/>
    <mergeCell ref="K24:L24"/>
    <mergeCell ref="S30:T30"/>
    <mergeCell ref="U30:V30"/>
    <mergeCell ref="F1:N4"/>
    <mergeCell ref="T6:V6"/>
    <mergeCell ref="T13:V13"/>
    <mergeCell ref="T14:V14"/>
    <mergeCell ref="T21:V21"/>
    <mergeCell ref="O2:T2"/>
    <mergeCell ref="M26:N26"/>
    <mergeCell ref="M27:N27"/>
    <mergeCell ref="Q28:R28"/>
    <mergeCell ref="K26:L26"/>
    <mergeCell ref="O25:P25"/>
    <mergeCell ref="Q25:R25"/>
    <mergeCell ref="S25:T25"/>
    <mergeCell ref="U25:V25"/>
    <mergeCell ref="M25:N25"/>
    <mergeCell ref="G29:H29"/>
    <mergeCell ref="I29:J29"/>
    <mergeCell ref="K29:L29"/>
    <mergeCell ref="O29:P29"/>
    <mergeCell ref="Q29:R29"/>
    <mergeCell ref="M28:N28"/>
  </mergeCells>
  <dataValidations count="4">
    <dataValidation type="list" allowBlank="1" showInputMessage="1" showErrorMessage="1" sqref="K25:L25">
      <formula1>$X$9:$X$21</formula1>
    </dataValidation>
    <dataValidation type="list" allowBlank="1" showInputMessage="1" showErrorMessage="1" sqref="Y25">
      <formula1>$Y$9:$Y$21</formula1>
    </dataValidation>
    <dataValidation type="list" allowBlank="1" showInputMessage="1" showErrorMessage="1" sqref="Y6:Z6">
      <formula1>$AA$1:$AC$1</formula1>
    </dataValidation>
    <dataValidation type="decimal" allowBlank="1" showInputMessage="1" showErrorMessage="1" errorTitle="Company specific risk value" error="Company specific risk value must be between 0 and 2%." promptTitle="Company specific risk value" prompt="Company specific risk value must be between 0 and 2%." sqref="T37:V37">
      <formula1>0</formula1>
      <formula2>0.02</formula2>
    </dataValidation>
  </dataValidations>
  <pageMargins left="0.31496062992125984" right="0.31496062992125984" top="0.35433070866141736" bottom="0.35433070866141736" header="0.31496062992125984" footer="0.31496062992125984"/>
  <pageSetup paperSize="9" scale="99" orientation="portrait" horizontalDpi="1200" verticalDpi="1200" r:id="rId1"/>
  <ignoredErrors>
    <ignoredError sqref="X9:Y13 E26:V26 O21:O23 E28:F28 I35:K36 T42 T59:V60 T20 X15:Y21 I40:K40 T64:V64 E25:J25 X14 Z25:AG25 AH25:CA25 E27:F27 H27 J48:K48 J46:K46 J47:K47 T50 T63:V63 I39:K39 Z3 Z4:Z5 L25:W25 I38:K38 T62:V62 U61:V61" evalError="1"/>
    <ignoredError sqref="T7:V7 U35:V35 T11:V11 T9:V10 T12 W16 W15 W13 W12 W14 Y27:AD27 X26 X28 B9 U8:V8 U36:V36 Y5:Y6 Y29:AD30" unlockedFormula="1"/>
    <ignoredError sqref="T48:V48 U20:V20 T51:V52 T19:V19 U46:V46 T17:V18 T14:T15 U15:V15 U14:V14 T16:V16 U12:V12 U13:V13 U50:V50 U49:V49 T23:V23 T21:V22 Y4 Y3 Y1:Z2 U47:V47 T55:V56 U53:V53 U54:V54" evalError="1" unlockedFormula="1"/>
    <ignoredError sqref="G28:V28" evalError="1" formula="1"/>
  </ignoredErrors>
  <drawing r:id="rId2"/>
  <legacyDrawing r:id="rId3"/>
  <mc:AlternateContent xmlns:mc="http://schemas.openxmlformats.org/markup-compatibility/2006">
    <mc:Choice Requires="x14">
      <controls>
        <mc:AlternateContent xmlns:mc="http://schemas.openxmlformats.org/markup-compatibility/2006">
          <mc:Choice Requires="x14">
            <control shapeId="3073" r:id="rId4" name="APPLICABLE_FOR_VALUATION_MODEL">
              <controlPr locked="0" defaultSize="0" autoFill="0" autoLine="0" autoPict="0" altText="Check">
                <anchor moveWithCells="1" sizeWithCells="1">
                  <from>
                    <xdr:col>21</xdr:col>
                    <xdr:colOff>9525</xdr:colOff>
                    <xdr:row>0</xdr:row>
                    <xdr:rowOff>142875</xdr:rowOff>
                  </from>
                  <to>
                    <xdr:col>21</xdr:col>
                    <xdr:colOff>219075</xdr:colOff>
                    <xdr:row>3</xdr:row>
                    <xdr:rowOff>9525</xdr:rowOff>
                  </to>
                </anchor>
              </controlPr>
            </control>
          </mc:Choice>
        </mc:AlternateContent>
        <mc:AlternateContent xmlns:mc="http://schemas.openxmlformats.org/markup-compatibility/2006">
          <mc:Choice Requires="x14">
            <control shapeId="3074" r:id="rId5" name="SUITABLE_DM">
              <controlPr locked="0" defaultSize="0" autoFill="0" autoLine="0" autoPict="0" altText="Check">
                <anchor moveWithCells="1" sizeWithCells="1">
                  <from>
                    <xdr:col>2</xdr:col>
                    <xdr:colOff>47625</xdr:colOff>
                    <xdr:row>67</xdr:row>
                    <xdr:rowOff>9525</xdr:rowOff>
                  </from>
                  <to>
                    <xdr:col>2</xdr:col>
                    <xdr:colOff>266700</xdr:colOff>
                    <xdr:row>68</xdr:row>
                    <xdr:rowOff>95250</xdr:rowOff>
                  </to>
                </anchor>
              </controlPr>
            </control>
          </mc:Choice>
        </mc:AlternateContent>
        <mc:AlternateContent xmlns:mc="http://schemas.openxmlformats.org/markup-compatibility/2006">
          <mc:Choice Requires="x14">
            <control shapeId="3075" r:id="rId6" name="SUITABLE_ASIA">
              <controlPr locked="0" defaultSize="0" autoFill="0" autoLine="0" autoPict="0" altText="Check">
                <anchor moveWithCells="1" sizeWithCells="1">
                  <from>
                    <xdr:col>2</xdr:col>
                    <xdr:colOff>47625</xdr:colOff>
                    <xdr:row>70</xdr:row>
                    <xdr:rowOff>9525</xdr:rowOff>
                  </from>
                  <to>
                    <xdr:col>2</xdr:col>
                    <xdr:colOff>266700</xdr:colOff>
                    <xdr:row>71</xdr:row>
                    <xdr:rowOff>95250</xdr:rowOff>
                  </to>
                </anchor>
              </controlPr>
            </control>
          </mc:Choice>
        </mc:AlternateContent>
        <mc:AlternateContent xmlns:mc="http://schemas.openxmlformats.org/markup-compatibility/2006">
          <mc:Choice Requires="x14">
            <control shapeId="3076" r:id="rId7" name="SUITABLE_EM">
              <controlPr locked="0" defaultSize="0" autoFill="0" autoLine="0" autoPict="0" altText="Check">
                <anchor moveWithCells="1" sizeWithCells="1">
                  <from>
                    <xdr:col>14</xdr:col>
                    <xdr:colOff>66675</xdr:colOff>
                    <xdr:row>67</xdr:row>
                    <xdr:rowOff>9525</xdr:rowOff>
                  </from>
                  <to>
                    <xdr:col>15</xdr:col>
                    <xdr:colOff>28575</xdr:colOff>
                    <xdr:row>68</xdr:row>
                    <xdr:rowOff>95250</xdr:rowOff>
                  </to>
                </anchor>
              </controlPr>
            </control>
          </mc:Choice>
        </mc:AlternateContent>
        <mc:AlternateContent xmlns:mc="http://schemas.openxmlformats.org/markup-compatibility/2006">
          <mc:Choice Requires="x14">
            <control shapeId="3077" r:id="rId8" name="SUITABLE_CHINA">
              <controlPr locked="0" defaultSize="0" autoFill="0" autoLine="0" autoPict="0" altText="Check">
                <anchor moveWithCells="1" sizeWithCells="1">
                  <from>
                    <xdr:col>14</xdr:col>
                    <xdr:colOff>66675</xdr:colOff>
                    <xdr:row>70</xdr:row>
                    <xdr:rowOff>9525</xdr:rowOff>
                  </from>
                  <to>
                    <xdr:col>15</xdr:col>
                    <xdr:colOff>28575</xdr:colOff>
                    <xdr:row>71</xdr:row>
                    <xdr:rowOff>104775</xdr:rowOff>
                  </to>
                </anchor>
              </controlPr>
            </control>
          </mc:Choice>
        </mc:AlternateContent>
        <mc:AlternateContent xmlns:mc="http://schemas.openxmlformats.org/markup-compatibility/2006">
          <mc:Choice Requires="x14">
            <control shapeId="3082" r:id="rId9" name="APPLICABLE_FOR_LIGHT_COVERAGE">
              <controlPr locked="0" defaultSize="0" autoFill="0" autoLine="0" autoPict="0" altText="Check">
                <anchor moveWithCells="1" sizeWithCells="1">
                  <from>
                    <xdr:col>21</xdr:col>
                    <xdr:colOff>9525</xdr:colOff>
                    <xdr:row>3</xdr:row>
                    <xdr:rowOff>104775</xdr:rowOff>
                  </from>
                  <to>
                    <xdr:col>21</xdr:col>
                    <xdr:colOff>228600</xdr:colOff>
                    <xdr:row>5</xdr:row>
                    <xdr:rowOff>9525</xdr:rowOff>
                  </to>
                </anchor>
              </controlPr>
            </control>
          </mc:Choice>
        </mc:AlternateContent>
        <mc:AlternateContent xmlns:mc="http://schemas.openxmlformats.org/markup-compatibility/2006">
          <mc:Choice Requires="x14">
            <control shapeId="3084" r:id="rId10" name="PART_OF_ANALYST_PLAYBOOK">
              <controlPr locked="0" defaultSize="0" autoFill="0" autoLine="0" autoPict="0" altText="Check">
                <anchor moveWithCells="1" sizeWithCells="1">
                  <from>
                    <xdr:col>21</xdr:col>
                    <xdr:colOff>9525</xdr:colOff>
                    <xdr:row>1</xdr:row>
                    <xdr:rowOff>123825</xdr:rowOff>
                  </from>
                  <to>
                    <xdr:col>21</xdr:col>
                    <xdr:colOff>219075</xdr:colOff>
                    <xdr:row>4</xdr:row>
                    <xdr:rowOff>19050</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1.2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SScoreCard"/>
  <dimension ref="A1:AE53"/>
  <sheetViews>
    <sheetView showGridLines="0" topLeftCell="A25" zoomScale="175" zoomScaleNormal="175" workbookViewId="0">
      <selection activeCell="G28" sqref="G28"/>
    </sheetView>
  </sheetViews>
  <sheetFormatPr defaultRowHeight="15"/>
  <cols>
    <col min="1" max="1" width="1.33203125" style="14" customWidth="1"/>
    <col min="2" max="4" width="5.33203125" style="14" customWidth="1"/>
    <col min="5" max="5" width="4.1640625" style="32" customWidth="1"/>
    <col min="6" max="6" width="4" style="32" customWidth="1"/>
    <col min="7" max="7" width="8.1640625" style="14" customWidth="1"/>
    <col min="8" max="8" width="0.6640625" style="14" customWidth="1"/>
    <col min="9" max="13" width="5.33203125" style="14" customWidth="1"/>
    <col min="14" max="14" width="4.83203125" style="14" customWidth="1"/>
    <col min="15" max="15" width="5.33203125" style="14" customWidth="1"/>
    <col min="16" max="19" width="8" style="14" customWidth="1"/>
    <col min="20" max="20" width="13.83203125" style="14" customWidth="1"/>
    <col min="21" max="21" width="19" style="14" customWidth="1"/>
    <col min="22" max="22" width="4.83203125" style="14" customWidth="1"/>
    <col min="23" max="23" width="5.33203125" style="14" customWidth="1"/>
    <col min="24" max="24" width="3.6640625" style="14" customWidth="1"/>
    <col min="25" max="16384" width="9.33203125" style="14"/>
  </cols>
  <sheetData>
    <row r="1" spans="1:29" ht="12" customHeight="1">
      <c r="A1" s="5"/>
      <c r="B1" s="114"/>
      <c r="C1" s="114"/>
      <c r="D1" s="114"/>
      <c r="E1" s="115"/>
      <c r="F1" s="118"/>
      <c r="G1" s="804" t="str">
        <f>DL_SEC_NAME &amp; ""</f>
        <v>KONINKLIJKE DSM NV ORDINARY SHARES EUR1.50</v>
      </c>
      <c r="H1" s="804"/>
      <c r="I1" s="804"/>
      <c r="J1" s="804"/>
      <c r="K1" s="804"/>
      <c r="L1" s="804"/>
      <c r="M1" s="804"/>
      <c r="N1" s="804"/>
      <c r="O1" s="804"/>
      <c r="P1" s="804"/>
      <c r="Q1" s="804"/>
      <c r="R1" s="248" t="s">
        <v>20</v>
      </c>
      <c r="S1" s="256"/>
      <c r="T1" s="257"/>
      <c r="U1" s="256">
        <f ca="1">PRICE_DATE</f>
        <v>43692</v>
      </c>
      <c r="V1" s="116"/>
      <c r="W1" s="116"/>
    </row>
    <row r="2" spans="1:29" ht="12" customHeight="1">
      <c r="A2" s="5"/>
      <c r="B2" s="114"/>
      <c r="C2" s="114"/>
      <c r="D2" s="114"/>
      <c r="E2" s="115"/>
      <c r="F2" s="118"/>
      <c r="G2" s="804"/>
      <c r="H2" s="804"/>
      <c r="I2" s="804"/>
      <c r="J2" s="804"/>
      <c r="K2" s="804"/>
      <c r="L2" s="804"/>
      <c r="M2" s="804"/>
      <c r="N2" s="804"/>
      <c r="O2" s="804"/>
      <c r="P2" s="804"/>
      <c r="Q2" s="804"/>
      <c r="R2" s="803" t="s">
        <v>1</v>
      </c>
      <c r="S2" s="803"/>
      <c r="T2" s="803"/>
      <c r="U2" s="258" t="str">
        <f>TEXT(SEC_CODE,"0000000")</f>
        <v>B0HZL93</v>
      </c>
    </row>
    <row r="3" spans="1:29" ht="12" customHeight="1">
      <c r="A3" s="5"/>
      <c r="B3" s="114"/>
      <c r="C3" s="114"/>
      <c r="D3" s="114"/>
      <c r="E3" s="115"/>
      <c r="F3" s="118"/>
      <c r="G3" s="804"/>
      <c r="H3" s="804"/>
      <c r="I3" s="804"/>
      <c r="J3" s="804"/>
      <c r="K3" s="804"/>
      <c r="L3" s="804"/>
      <c r="M3" s="804"/>
      <c r="N3" s="804"/>
      <c r="O3" s="804"/>
      <c r="P3" s="804"/>
      <c r="Q3" s="804"/>
      <c r="R3" s="803" t="s">
        <v>552</v>
      </c>
      <c r="S3" s="803"/>
      <c r="T3" s="803"/>
      <c r="U3" s="258" t="str">
        <f>VLOOKUP("53,1",FS_DATA,3,0) &amp; ""</f>
        <v>EUR</v>
      </c>
    </row>
    <row r="4" spans="1:29" ht="12" customHeight="1">
      <c r="A4" s="5"/>
      <c r="B4" s="114"/>
      <c r="C4" s="114"/>
      <c r="D4" s="5"/>
      <c r="E4" s="117"/>
      <c r="F4" s="119"/>
      <c r="G4" s="229" t="str">
        <f>SEC_ANALYST</f>
        <v>James Govan</v>
      </c>
      <c r="H4" s="118"/>
      <c r="I4" s="118"/>
      <c r="J4" s="118"/>
      <c r="K4" s="118"/>
      <c r="L4" s="118"/>
      <c r="M4" s="118"/>
      <c r="N4" s="118"/>
      <c r="O4" s="5"/>
      <c r="P4" s="1"/>
      <c r="Q4" s="5"/>
      <c r="R4" s="259" t="s">
        <v>547</v>
      </c>
      <c r="S4" s="259"/>
      <c r="T4" s="259"/>
      <c r="U4" s="260" t="e">
        <f ca="1">SELL_TARGET</f>
        <v>#NAME?</v>
      </c>
    </row>
    <row r="5" spans="1:29" ht="12" customHeight="1">
      <c r="A5" s="5"/>
      <c r="B5" s="114"/>
      <c r="C5" s="114"/>
      <c r="D5" s="5"/>
      <c r="E5" s="117"/>
      <c r="F5" s="119"/>
      <c r="G5" s="229" t="str">
        <f>PROPER(SEC_COUNTRY)</f>
        <v>Netherlands</v>
      </c>
      <c r="H5" s="114"/>
      <c r="I5" s="114"/>
      <c r="J5" s="114"/>
      <c r="K5" s="114"/>
      <c r="L5" s="114"/>
      <c r="M5" s="5"/>
      <c r="N5" s="114"/>
      <c r="O5" s="5"/>
      <c r="P5" s="1"/>
      <c r="Q5" s="5"/>
      <c r="R5" s="263" t="s">
        <v>549</v>
      </c>
      <c r="S5" s="263"/>
      <c r="T5" s="263"/>
      <c r="U5" s="264" t="e">
        <f ca="1">TARGET_PRICE_UPSIDE</f>
        <v>#NAME?</v>
      </c>
    </row>
    <row r="6" spans="1:29" ht="12" customHeight="1">
      <c r="A6" s="5"/>
      <c r="B6" s="114"/>
      <c r="C6" s="114"/>
      <c r="D6" s="5"/>
      <c r="E6" s="117"/>
      <c r="F6" s="229"/>
      <c r="G6" s="229" t="str">
        <f xml:space="preserve"> IF(VLOOKUP("3000,1",FS_DATA,3,0) &amp; ""="@NA","-",VLOOKUP("3000,1",FS_DATA,3,0) &amp; "")</f>
        <v>Materials</v>
      </c>
      <c r="H6" s="229"/>
      <c r="I6" s="229"/>
      <c r="J6" s="229"/>
      <c r="K6" s="229"/>
      <c r="L6" s="229"/>
      <c r="M6" s="229"/>
      <c r="N6" s="229"/>
      <c r="O6" s="229"/>
      <c r="P6" s="1"/>
      <c r="Q6" s="5"/>
      <c r="R6" s="261"/>
      <c r="S6" s="261"/>
      <c r="T6" s="261"/>
      <c r="U6" s="262"/>
    </row>
    <row r="7" spans="1:29" ht="12" customHeight="1">
      <c r="A7" s="5"/>
      <c r="B7" s="114"/>
      <c r="C7" s="114"/>
      <c r="D7" s="5"/>
      <c r="E7" s="117"/>
      <c r="F7" s="229"/>
      <c r="G7" s="229" t="str">
        <f xml:space="preserve"> IF(VLOOKUP("3001,1",FS_DATA,3,0) &amp; ""="@NA","-",VLOOKUP("3001,1",FS_DATA,3,0) &amp; "")</f>
        <v>Specialty Chemicals</v>
      </c>
      <c r="H7" s="229"/>
      <c r="I7" s="229"/>
      <c r="J7" s="229"/>
      <c r="K7" s="229"/>
      <c r="L7" s="229"/>
      <c r="M7" s="229"/>
      <c r="N7" s="229"/>
      <c r="O7" s="229"/>
      <c r="P7" s="1"/>
      <c r="Q7" s="5"/>
    </row>
    <row r="8" spans="1:29" ht="10.5" customHeight="1">
      <c r="A8" s="5"/>
      <c r="B8" s="120"/>
      <c r="C8" s="120"/>
      <c r="D8" s="120"/>
      <c r="E8" s="121"/>
      <c r="F8" s="121"/>
      <c r="G8" s="120"/>
      <c r="H8" s="120"/>
      <c r="I8" s="120"/>
      <c r="J8" s="120"/>
      <c r="K8" s="120"/>
      <c r="L8" s="120"/>
      <c r="M8" s="120"/>
      <c r="N8" s="120"/>
      <c r="O8" s="6"/>
      <c r="P8" s="6"/>
      <c r="Q8" s="6"/>
      <c r="R8" s="6"/>
      <c r="S8" s="6"/>
      <c r="T8" s="6"/>
      <c r="U8" s="6"/>
    </row>
    <row r="9" spans="1:29" ht="15" customHeight="1">
      <c r="A9" s="5"/>
      <c r="B9" s="814" t="s">
        <v>59</v>
      </c>
      <c r="C9" s="815"/>
      <c r="D9" s="816"/>
      <c r="E9" s="817">
        <f>AVERAGE(QLTY_OVERALL_SCORE,GRWTH_OVERALL_SCORE,VAL_OVERALL_SCORE)</f>
        <v>7.6111111111111116</v>
      </c>
      <c r="F9" s="818"/>
      <c r="G9" s="121"/>
      <c r="H9" s="120"/>
      <c r="I9" s="120"/>
      <c r="J9" s="120"/>
      <c r="K9" s="120"/>
      <c r="L9" s="120"/>
      <c r="M9" s="120"/>
      <c r="N9" s="120"/>
      <c r="O9" s="6"/>
      <c r="P9" s="6"/>
      <c r="Q9" s="6"/>
      <c r="R9" s="6"/>
      <c r="S9" s="6"/>
      <c r="T9" s="6"/>
      <c r="U9" s="6"/>
    </row>
    <row r="10" spans="1:29" ht="12" customHeight="1">
      <c r="A10" s="5"/>
      <c r="B10" s="120"/>
      <c r="C10" s="120"/>
      <c r="D10" s="120"/>
      <c r="E10" s="122"/>
      <c r="F10" s="122"/>
      <c r="G10" s="121"/>
      <c r="H10" s="120"/>
      <c r="I10" s="120"/>
      <c r="J10" s="120"/>
      <c r="K10" s="120"/>
      <c r="L10" s="120"/>
      <c r="M10" s="120"/>
      <c r="N10" s="120"/>
      <c r="O10" s="123"/>
      <c r="P10" s="6"/>
      <c r="Q10" s="6"/>
      <c r="R10" s="7"/>
      <c r="S10" s="124"/>
      <c r="T10" s="124"/>
      <c r="U10" s="124"/>
      <c r="V10" s="87"/>
      <c r="W10" s="87"/>
    </row>
    <row r="11" spans="1:29" ht="13.5" customHeight="1">
      <c r="A11" s="5"/>
      <c r="B11" s="819" t="s">
        <v>60</v>
      </c>
      <c r="C11" s="820"/>
      <c r="D11" s="820"/>
      <c r="E11" s="821">
        <f>AVERAGE(QLTY_FRCHS_SUBSCORE,QLTY_MGMT_SUBSCORE,QLTY_BS_SUBSCORE)</f>
        <v>1.8333333333333333</v>
      </c>
      <c r="F11" s="822"/>
      <c r="G11" s="125"/>
      <c r="H11" s="126"/>
      <c r="I11" s="805" t="s">
        <v>9</v>
      </c>
      <c r="J11" s="805"/>
      <c r="K11" s="805"/>
      <c r="L11" s="805"/>
      <c r="M11" s="805"/>
      <c r="N11" s="805"/>
      <c r="O11" s="805"/>
      <c r="P11" s="805"/>
      <c r="Q11" s="805"/>
      <c r="R11" s="805"/>
      <c r="S11" s="805"/>
      <c r="T11" s="805"/>
      <c r="U11" s="805"/>
      <c r="V11" s="87"/>
      <c r="W11" s="233" t="s">
        <v>602</v>
      </c>
    </row>
    <row r="12" spans="1:29" ht="11.25" customHeight="1">
      <c r="A12" s="5"/>
      <c r="B12" s="795" t="s">
        <v>10</v>
      </c>
      <c r="C12" s="796"/>
      <c r="D12" s="796"/>
      <c r="E12" s="792">
        <v>2</v>
      </c>
      <c r="F12" s="792"/>
      <c r="G12" s="799"/>
      <c r="H12" s="127"/>
      <c r="I12" s="806" t="s">
        <v>1239</v>
      </c>
      <c r="J12" s="806"/>
      <c r="K12" s="806"/>
      <c r="L12" s="806"/>
      <c r="M12" s="806"/>
      <c r="N12" s="806"/>
      <c r="O12" s="806"/>
      <c r="P12" s="806"/>
      <c r="Q12" s="806"/>
      <c r="R12" s="806"/>
      <c r="S12" s="806"/>
      <c r="T12" s="806"/>
      <c r="U12" s="807"/>
      <c r="V12" s="87"/>
      <c r="W12" s="769" t="s">
        <v>608</v>
      </c>
      <c r="X12" s="770"/>
      <c r="Y12" s="770"/>
      <c r="Z12" s="770"/>
      <c r="AA12" s="770"/>
      <c r="AB12" s="771"/>
      <c r="AC12" s="235"/>
    </row>
    <row r="13" spans="1:29" ht="11.25" customHeight="1">
      <c r="A13" s="5"/>
      <c r="B13" s="797"/>
      <c r="C13" s="798"/>
      <c r="D13" s="798"/>
      <c r="E13" s="793"/>
      <c r="F13" s="793"/>
      <c r="G13" s="800"/>
      <c r="H13" s="120"/>
      <c r="I13" s="808"/>
      <c r="J13" s="808"/>
      <c r="K13" s="808"/>
      <c r="L13" s="808"/>
      <c r="M13" s="808"/>
      <c r="N13" s="808"/>
      <c r="O13" s="808"/>
      <c r="P13" s="808"/>
      <c r="Q13" s="808"/>
      <c r="R13" s="808"/>
      <c r="S13" s="808"/>
      <c r="T13" s="808"/>
      <c r="U13" s="809"/>
      <c r="V13" s="87"/>
      <c r="W13" s="772"/>
      <c r="X13" s="773"/>
      <c r="Y13" s="773"/>
      <c r="Z13" s="773"/>
      <c r="AA13" s="773"/>
      <c r="AB13" s="774"/>
      <c r="AC13" s="235"/>
    </row>
    <row r="14" spans="1:29" ht="42.75" customHeight="1">
      <c r="A14" s="5"/>
      <c r="B14" s="797"/>
      <c r="C14" s="798"/>
      <c r="D14" s="798"/>
      <c r="E14" s="793"/>
      <c r="F14" s="793"/>
      <c r="G14" s="800"/>
      <c r="H14" s="120"/>
      <c r="I14" s="808"/>
      <c r="J14" s="808"/>
      <c r="K14" s="808"/>
      <c r="L14" s="808"/>
      <c r="M14" s="808"/>
      <c r="N14" s="808"/>
      <c r="O14" s="808"/>
      <c r="P14" s="808"/>
      <c r="Q14" s="808"/>
      <c r="R14" s="808"/>
      <c r="S14" s="808"/>
      <c r="T14" s="808"/>
      <c r="U14" s="809"/>
      <c r="V14" s="87"/>
      <c r="W14" s="775"/>
      <c r="X14" s="776"/>
      <c r="Y14" s="776"/>
      <c r="Z14" s="776"/>
      <c r="AA14" s="776"/>
      <c r="AB14" s="777"/>
      <c r="AC14" s="235"/>
    </row>
    <row r="15" spans="1:29" ht="30.95" customHeight="1">
      <c r="A15" s="5"/>
      <c r="B15" s="128"/>
      <c r="C15" s="129"/>
      <c r="D15" s="129"/>
      <c r="E15" s="794"/>
      <c r="F15" s="794"/>
      <c r="G15" s="130"/>
      <c r="H15" s="120"/>
      <c r="I15" s="801" t="str">
        <f>tbo_textitem_18 &amp; ""</f>
        <v/>
      </c>
      <c r="J15" s="801"/>
      <c r="K15" s="801"/>
      <c r="L15" s="801"/>
      <c r="M15" s="801"/>
      <c r="N15" s="801"/>
      <c r="O15" s="801"/>
      <c r="P15" s="801"/>
      <c r="Q15" s="801"/>
      <c r="R15" s="801"/>
      <c r="S15" s="801"/>
      <c r="T15" s="801"/>
      <c r="U15" s="802"/>
      <c r="V15" s="87"/>
      <c r="W15" s="234"/>
      <c r="X15" s="234"/>
      <c r="Y15" s="234"/>
      <c r="Z15" s="234"/>
      <c r="AA15" s="234"/>
      <c r="AB15" s="234"/>
    </row>
    <row r="16" spans="1:29" ht="4.5" customHeight="1">
      <c r="A16" s="5"/>
      <c r="B16" s="128"/>
      <c r="C16" s="129"/>
      <c r="D16" s="129"/>
      <c r="E16" s="131"/>
      <c r="F16" s="131"/>
      <c r="G16" s="130"/>
      <c r="H16" s="120"/>
      <c r="I16" s="132"/>
      <c r="J16" s="132"/>
      <c r="K16" s="132"/>
      <c r="L16" s="132"/>
      <c r="M16" s="132"/>
      <c r="N16" s="132"/>
      <c r="O16" s="132"/>
      <c r="P16" s="132"/>
      <c r="Q16" s="132"/>
      <c r="R16" s="132"/>
      <c r="S16" s="132"/>
      <c r="T16" s="132"/>
      <c r="U16" s="133"/>
      <c r="V16" s="87"/>
      <c r="W16" s="87"/>
    </row>
    <row r="17" spans="1:28" ht="11.25" customHeight="1">
      <c r="A17" s="5"/>
      <c r="B17" s="797" t="s">
        <v>3</v>
      </c>
      <c r="C17" s="798"/>
      <c r="D17" s="798"/>
      <c r="E17" s="793">
        <v>1</v>
      </c>
      <c r="F17" s="793"/>
      <c r="G17" s="800"/>
      <c r="H17" s="120"/>
      <c r="I17" s="808" t="s">
        <v>1240</v>
      </c>
      <c r="J17" s="808"/>
      <c r="K17" s="808"/>
      <c r="L17" s="808"/>
      <c r="M17" s="808"/>
      <c r="N17" s="808"/>
      <c r="O17" s="808"/>
      <c r="P17" s="808"/>
      <c r="Q17" s="808"/>
      <c r="R17" s="808"/>
      <c r="S17" s="808"/>
      <c r="T17" s="808"/>
      <c r="U17" s="809"/>
      <c r="V17" s="87"/>
      <c r="W17" s="769" t="s">
        <v>609</v>
      </c>
      <c r="X17" s="770"/>
      <c r="Y17" s="770"/>
      <c r="Z17" s="770"/>
      <c r="AA17" s="770"/>
      <c r="AB17" s="771"/>
    </row>
    <row r="18" spans="1:28" ht="11.25" customHeight="1">
      <c r="A18" s="5"/>
      <c r="B18" s="797"/>
      <c r="C18" s="798"/>
      <c r="D18" s="798"/>
      <c r="E18" s="793"/>
      <c r="F18" s="793"/>
      <c r="G18" s="800"/>
      <c r="H18" s="120"/>
      <c r="I18" s="808"/>
      <c r="J18" s="808"/>
      <c r="K18" s="808"/>
      <c r="L18" s="808"/>
      <c r="M18" s="808"/>
      <c r="N18" s="808"/>
      <c r="O18" s="808"/>
      <c r="P18" s="808"/>
      <c r="Q18" s="808"/>
      <c r="R18" s="808"/>
      <c r="S18" s="808"/>
      <c r="T18" s="808"/>
      <c r="U18" s="809"/>
      <c r="V18" s="87"/>
      <c r="W18" s="772"/>
      <c r="X18" s="773"/>
      <c r="Y18" s="773"/>
      <c r="Z18" s="773"/>
      <c r="AA18" s="773"/>
      <c r="AB18" s="774"/>
    </row>
    <row r="19" spans="1:28" ht="42.75" customHeight="1">
      <c r="A19" s="5"/>
      <c r="B19" s="797"/>
      <c r="C19" s="798"/>
      <c r="D19" s="798"/>
      <c r="E19" s="793"/>
      <c r="F19" s="793"/>
      <c r="G19" s="800"/>
      <c r="H19" s="120"/>
      <c r="I19" s="808"/>
      <c r="J19" s="808"/>
      <c r="K19" s="808"/>
      <c r="L19" s="808"/>
      <c r="M19" s="808"/>
      <c r="N19" s="808"/>
      <c r="O19" s="808"/>
      <c r="P19" s="808"/>
      <c r="Q19" s="808"/>
      <c r="R19" s="808"/>
      <c r="S19" s="808"/>
      <c r="T19" s="808"/>
      <c r="U19" s="809"/>
      <c r="V19" s="87"/>
      <c r="W19" s="775"/>
      <c r="X19" s="776"/>
      <c r="Y19" s="776"/>
      <c r="Z19" s="776"/>
      <c r="AA19" s="776"/>
      <c r="AB19" s="777"/>
    </row>
    <row r="20" spans="1:28" ht="30.95" customHeight="1">
      <c r="A20" s="5"/>
      <c r="B20" s="128"/>
      <c r="C20" s="129"/>
      <c r="D20" s="129"/>
      <c r="E20" s="794"/>
      <c r="F20" s="794"/>
      <c r="G20" s="130"/>
      <c r="H20" s="120"/>
      <c r="I20" s="810" t="str">
        <f>tbo_textitem_19 &amp; ""</f>
        <v/>
      </c>
      <c r="J20" s="810"/>
      <c r="K20" s="810"/>
      <c r="L20" s="810"/>
      <c r="M20" s="810"/>
      <c r="N20" s="810"/>
      <c r="O20" s="810"/>
      <c r="P20" s="810"/>
      <c r="Q20" s="810"/>
      <c r="R20" s="810"/>
      <c r="S20" s="810"/>
      <c r="T20" s="810"/>
      <c r="U20" s="811"/>
      <c r="V20" s="87"/>
      <c r="W20" s="236"/>
      <c r="X20" s="236"/>
      <c r="Y20" s="236"/>
      <c r="Z20" s="236"/>
      <c r="AA20" s="236"/>
      <c r="AB20" s="236"/>
    </row>
    <row r="21" spans="1:28" ht="4.5" customHeight="1">
      <c r="A21" s="5"/>
      <c r="B21" s="128"/>
      <c r="C21" s="129"/>
      <c r="D21" s="129"/>
      <c r="E21" s="131"/>
      <c r="F21" s="131"/>
      <c r="G21" s="130"/>
      <c r="H21" s="120"/>
      <c r="I21" s="132"/>
      <c r="J21" s="132"/>
      <c r="K21" s="132"/>
      <c r="L21" s="132"/>
      <c r="M21" s="132"/>
      <c r="N21" s="132"/>
      <c r="O21" s="132"/>
      <c r="P21" s="132"/>
      <c r="Q21" s="132"/>
      <c r="R21" s="132"/>
      <c r="S21" s="132"/>
      <c r="T21" s="132"/>
      <c r="U21" s="133"/>
      <c r="V21" s="86"/>
      <c r="W21" s="86"/>
    </row>
    <row r="22" spans="1:28" ht="11.25" customHeight="1">
      <c r="A22" s="5"/>
      <c r="B22" s="797" t="s">
        <v>61</v>
      </c>
      <c r="C22" s="798"/>
      <c r="D22" s="798"/>
      <c r="E22" s="793">
        <v>2.5</v>
      </c>
      <c r="F22" s="793"/>
      <c r="G22" s="800"/>
      <c r="H22" s="120"/>
      <c r="I22" s="808" t="s">
        <v>1243</v>
      </c>
      <c r="J22" s="808"/>
      <c r="K22" s="808"/>
      <c r="L22" s="808"/>
      <c r="M22" s="808"/>
      <c r="N22" s="808"/>
      <c r="O22" s="808"/>
      <c r="P22" s="808"/>
      <c r="Q22" s="808"/>
      <c r="R22" s="808"/>
      <c r="S22" s="808"/>
      <c r="T22" s="808"/>
      <c r="U22" s="809"/>
      <c r="V22" s="86"/>
      <c r="W22" s="783" t="s">
        <v>607</v>
      </c>
      <c r="X22" s="784"/>
      <c r="Y22" s="784"/>
      <c r="Z22" s="784"/>
      <c r="AA22" s="784"/>
      <c r="AB22" s="785"/>
    </row>
    <row r="23" spans="1:28" ht="11.25" customHeight="1">
      <c r="A23" s="5"/>
      <c r="B23" s="797"/>
      <c r="C23" s="798"/>
      <c r="D23" s="798"/>
      <c r="E23" s="793"/>
      <c r="F23" s="793"/>
      <c r="G23" s="800"/>
      <c r="H23" s="120"/>
      <c r="I23" s="808"/>
      <c r="J23" s="808"/>
      <c r="K23" s="808"/>
      <c r="L23" s="808"/>
      <c r="M23" s="808"/>
      <c r="N23" s="808"/>
      <c r="O23" s="808"/>
      <c r="P23" s="808"/>
      <c r="Q23" s="808"/>
      <c r="R23" s="808"/>
      <c r="S23" s="808"/>
      <c r="T23" s="808"/>
      <c r="U23" s="809"/>
      <c r="V23" s="86"/>
      <c r="W23" s="786"/>
      <c r="X23" s="787"/>
      <c r="Y23" s="787"/>
      <c r="Z23" s="787"/>
      <c r="AA23" s="787"/>
      <c r="AB23" s="788"/>
    </row>
    <row r="24" spans="1:28" ht="43.5" customHeight="1">
      <c r="A24" s="5"/>
      <c r="B24" s="797"/>
      <c r="C24" s="798"/>
      <c r="D24" s="798"/>
      <c r="E24" s="793"/>
      <c r="F24" s="793"/>
      <c r="G24" s="800"/>
      <c r="H24" s="120"/>
      <c r="I24" s="808"/>
      <c r="J24" s="808"/>
      <c r="K24" s="808"/>
      <c r="L24" s="808"/>
      <c r="M24" s="808"/>
      <c r="N24" s="808"/>
      <c r="O24" s="808"/>
      <c r="P24" s="808"/>
      <c r="Q24" s="808"/>
      <c r="R24" s="808"/>
      <c r="S24" s="808"/>
      <c r="T24" s="808"/>
      <c r="U24" s="809"/>
      <c r="V24" s="86"/>
      <c r="W24" s="789"/>
      <c r="X24" s="790"/>
      <c r="Y24" s="790"/>
      <c r="Z24" s="790"/>
      <c r="AA24" s="790"/>
      <c r="AB24" s="791"/>
    </row>
    <row r="25" spans="1:28" ht="30.95" customHeight="1">
      <c r="A25" s="5"/>
      <c r="B25" s="134"/>
      <c r="C25" s="135"/>
      <c r="D25" s="135"/>
      <c r="E25" s="794"/>
      <c r="F25" s="794"/>
      <c r="G25" s="136"/>
      <c r="H25" s="137"/>
      <c r="I25" s="812" t="str">
        <f>tbo_textitem_20 &amp; ""</f>
        <v/>
      </c>
      <c r="J25" s="812"/>
      <c r="K25" s="812"/>
      <c r="L25" s="812"/>
      <c r="M25" s="812"/>
      <c r="N25" s="812"/>
      <c r="O25" s="812"/>
      <c r="P25" s="812"/>
      <c r="Q25" s="812"/>
      <c r="R25" s="812"/>
      <c r="S25" s="812"/>
      <c r="T25" s="812"/>
      <c r="U25" s="813"/>
      <c r="V25" s="86"/>
      <c r="W25" s="232"/>
      <c r="X25" s="232"/>
      <c r="Y25" s="232"/>
      <c r="Z25" s="232"/>
      <c r="AA25" s="232"/>
      <c r="AB25" s="232"/>
    </row>
    <row r="26" spans="1:28" ht="12" customHeight="1">
      <c r="A26" s="5"/>
      <c r="B26" s="120"/>
      <c r="C26" s="120"/>
      <c r="D26" s="120"/>
      <c r="E26" s="138"/>
      <c r="F26" s="138"/>
      <c r="G26" s="130"/>
      <c r="H26" s="120"/>
      <c r="I26" s="132"/>
      <c r="J26" s="132"/>
      <c r="K26" s="132"/>
      <c r="L26" s="132"/>
      <c r="M26" s="132"/>
      <c r="N26" s="132"/>
      <c r="O26" s="132"/>
      <c r="P26" s="132"/>
      <c r="Q26" s="132"/>
      <c r="R26" s="132"/>
      <c r="S26" s="132"/>
      <c r="T26" s="132"/>
      <c r="U26" s="132"/>
      <c r="V26" s="86"/>
      <c r="W26" s="86"/>
    </row>
    <row r="27" spans="1:28" s="31" customFormat="1" ht="13.5" customHeight="1">
      <c r="A27" s="1"/>
      <c r="B27" s="819" t="s">
        <v>62</v>
      </c>
      <c r="C27" s="820"/>
      <c r="D27" s="820"/>
      <c r="E27" s="837">
        <f>AVERAGE(GRWTH_LAST_3YRS_SUBSCORE,GRWTH_NEXT_12M_SUBSCORE,GRWTH_CAGR_NEXT_5YRS_SUBSCORE)</f>
        <v>2.3333333333333335</v>
      </c>
      <c r="F27" s="838"/>
      <c r="G27" s="130" t="s">
        <v>4</v>
      </c>
      <c r="H27" s="120"/>
      <c r="I27" s="805" t="s">
        <v>9</v>
      </c>
      <c r="J27" s="805"/>
      <c r="K27" s="805"/>
      <c r="L27" s="805"/>
      <c r="M27" s="805"/>
      <c r="N27" s="805"/>
      <c r="O27" s="805"/>
      <c r="P27" s="805"/>
      <c r="Q27" s="805"/>
      <c r="R27" s="805"/>
      <c r="S27" s="805"/>
      <c r="T27" s="805"/>
      <c r="U27" s="805"/>
      <c r="V27" s="87"/>
      <c r="W27" s="87"/>
    </row>
    <row r="28" spans="1:28" ht="57" customHeight="1">
      <c r="A28" s="5"/>
      <c r="B28" s="832" t="s">
        <v>63</v>
      </c>
      <c r="C28" s="833"/>
      <c r="D28" s="833"/>
      <c r="E28" s="836">
        <v>1</v>
      </c>
      <c r="F28" s="836"/>
      <c r="G28" s="139">
        <f>EPS_GRWTH_LAST_3YRS</f>
        <v>0.26154558269707051</v>
      </c>
      <c r="H28" s="127"/>
      <c r="I28" s="806" t="s">
        <v>1238</v>
      </c>
      <c r="J28" s="806"/>
      <c r="K28" s="806"/>
      <c r="L28" s="806"/>
      <c r="M28" s="806"/>
      <c r="N28" s="806"/>
      <c r="O28" s="806"/>
      <c r="P28" s="806"/>
      <c r="Q28" s="806"/>
      <c r="R28" s="806"/>
      <c r="S28" s="806"/>
      <c r="T28" s="806"/>
      <c r="U28" s="807"/>
      <c r="W28" s="778" t="s">
        <v>603</v>
      </c>
      <c r="X28" s="781"/>
      <c r="Y28" s="781"/>
      <c r="Z28" s="781"/>
      <c r="AA28" s="781"/>
      <c r="AB28" s="782"/>
    </row>
    <row r="29" spans="1:28" ht="4.5" customHeight="1">
      <c r="A29" s="5"/>
      <c r="B29" s="128"/>
      <c r="C29" s="129"/>
      <c r="D29" s="129"/>
      <c r="E29" s="131"/>
      <c r="F29" s="131"/>
      <c r="G29" s="140"/>
      <c r="H29" s="120"/>
      <c r="I29" s="132"/>
      <c r="J29" s="132"/>
      <c r="K29" s="132"/>
      <c r="L29" s="132"/>
      <c r="M29" s="132"/>
      <c r="N29" s="132"/>
      <c r="O29" s="132"/>
      <c r="P29" s="132"/>
      <c r="Q29" s="132"/>
      <c r="R29" s="132"/>
      <c r="S29" s="132"/>
      <c r="T29" s="132"/>
      <c r="U29" s="133"/>
    </row>
    <row r="30" spans="1:28" ht="57" customHeight="1">
      <c r="A30" s="5"/>
      <c r="B30" s="823" t="s">
        <v>64</v>
      </c>
      <c r="C30" s="824"/>
      <c r="D30" s="824"/>
      <c r="E30" s="825">
        <v>3</v>
      </c>
      <c r="F30" s="825"/>
      <c r="G30" s="141">
        <f>EPS_GRWTH_NEXT_12M</f>
        <v>0.18613935299391646</v>
      </c>
      <c r="H30" s="120"/>
      <c r="I30" s="808" t="s">
        <v>1237</v>
      </c>
      <c r="J30" s="808"/>
      <c r="K30" s="808"/>
      <c r="L30" s="808"/>
      <c r="M30" s="808"/>
      <c r="N30" s="808"/>
      <c r="O30" s="808"/>
      <c r="P30" s="808"/>
      <c r="Q30" s="808"/>
      <c r="R30" s="808"/>
      <c r="S30" s="808"/>
      <c r="T30" s="808"/>
      <c r="U30" s="809"/>
      <c r="W30" s="778" t="s">
        <v>603</v>
      </c>
      <c r="X30" s="779"/>
      <c r="Y30" s="779"/>
      <c r="Z30" s="779"/>
      <c r="AA30" s="779"/>
      <c r="AB30" s="780"/>
    </row>
    <row r="31" spans="1:28" ht="4.5" customHeight="1">
      <c r="A31" s="5"/>
      <c r="B31" s="128"/>
      <c r="C31" s="129"/>
      <c r="D31" s="129"/>
      <c r="E31" s="131"/>
      <c r="F31" s="131"/>
      <c r="G31" s="140"/>
      <c r="H31" s="120"/>
      <c r="I31" s="132"/>
      <c r="J31" s="132"/>
      <c r="K31" s="132"/>
      <c r="L31" s="132"/>
      <c r="M31" s="132"/>
      <c r="N31" s="132"/>
      <c r="O31" s="132"/>
      <c r="P31" s="132"/>
      <c r="Q31" s="132"/>
      <c r="R31" s="132"/>
      <c r="S31" s="132"/>
      <c r="T31" s="132"/>
      <c r="U31" s="133"/>
    </row>
    <row r="32" spans="1:28" ht="57" customHeight="1">
      <c r="A32" s="5"/>
      <c r="B32" s="826" t="s">
        <v>565</v>
      </c>
      <c r="C32" s="827"/>
      <c r="D32" s="827"/>
      <c r="E32" s="829">
        <v>3</v>
      </c>
      <c r="F32" s="829"/>
      <c r="G32" s="142">
        <f>EPS_GRWTH_CAGR_NEXT_5YRS</f>
        <v>0.14010559079021601</v>
      </c>
      <c r="H32" s="137"/>
      <c r="I32" s="839" t="s">
        <v>1236</v>
      </c>
      <c r="J32" s="839"/>
      <c r="K32" s="839"/>
      <c r="L32" s="839"/>
      <c r="M32" s="839"/>
      <c r="N32" s="839"/>
      <c r="O32" s="839"/>
      <c r="P32" s="839"/>
      <c r="Q32" s="839"/>
      <c r="R32" s="839"/>
      <c r="S32" s="839"/>
      <c r="T32" s="839"/>
      <c r="U32" s="840"/>
      <c r="W32" s="778" t="s">
        <v>603</v>
      </c>
      <c r="X32" s="779"/>
      <c r="Y32" s="779"/>
      <c r="Z32" s="779"/>
      <c r="AA32" s="779"/>
      <c r="AB32" s="780"/>
    </row>
    <row r="33" spans="1:31" ht="12" customHeight="1">
      <c r="A33" s="5"/>
      <c r="B33" s="120"/>
      <c r="C33" s="120"/>
      <c r="D33" s="120"/>
      <c r="E33" s="143"/>
      <c r="F33" s="143"/>
      <c r="G33" s="140"/>
      <c r="H33" s="120"/>
      <c r="I33" s="132"/>
      <c r="J33" s="132"/>
      <c r="K33" s="132"/>
      <c r="L33" s="132"/>
      <c r="M33" s="132"/>
      <c r="N33" s="132"/>
      <c r="O33" s="132"/>
      <c r="P33" s="132"/>
      <c r="Q33" s="132"/>
      <c r="R33" s="132"/>
      <c r="S33" s="132"/>
      <c r="T33" s="132"/>
      <c r="U33" s="132"/>
    </row>
    <row r="34" spans="1:31" ht="13.5" customHeight="1">
      <c r="A34" s="5"/>
      <c r="B34" s="819" t="s">
        <v>65</v>
      </c>
      <c r="C34" s="820"/>
      <c r="D34" s="820"/>
      <c r="E34" s="830">
        <f>AVERAGE(VAL_MRKT_MEASURE_SUBSCORE,VAL_STATIC_MEASURE_SUBSCORE,VAL_DISC_EARNING_SUBSCORE)</f>
        <v>18.666666666666668</v>
      </c>
      <c r="F34" s="831"/>
      <c r="G34" s="144" t="s">
        <v>0</v>
      </c>
      <c r="H34" s="120"/>
      <c r="I34" s="805" t="s">
        <v>9</v>
      </c>
      <c r="J34" s="805"/>
      <c r="K34" s="805"/>
      <c r="L34" s="805"/>
      <c r="M34" s="805"/>
      <c r="N34" s="805"/>
      <c r="O34" s="805"/>
      <c r="P34" s="805"/>
      <c r="Q34" s="805"/>
      <c r="R34" s="805"/>
      <c r="S34" s="805"/>
      <c r="T34" s="805"/>
      <c r="U34" s="805"/>
    </row>
    <row r="35" spans="1:31" ht="57" customHeight="1">
      <c r="A35" s="5"/>
      <c r="B35" s="832" t="s">
        <v>599</v>
      </c>
      <c r="C35" s="833"/>
      <c r="D35" s="833"/>
      <c r="E35" s="834">
        <v>50</v>
      </c>
      <c r="F35" s="834"/>
      <c r="G35" s="139" t="e">
        <f ca="1">UPSIDE_SECTOR_VALUE</f>
        <v>#NAME?</v>
      </c>
      <c r="H35" s="127"/>
      <c r="I35" s="806"/>
      <c r="J35" s="806"/>
      <c r="K35" s="806"/>
      <c r="L35" s="806"/>
      <c r="M35" s="806"/>
      <c r="N35" s="806"/>
      <c r="O35" s="806"/>
      <c r="P35" s="806"/>
      <c r="Q35" s="806"/>
      <c r="R35" s="806"/>
      <c r="S35" s="806"/>
      <c r="T35" s="806"/>
      <c r="U35" s="807"/>
      <c r="W35" s="778" t="s">
        <v>604</v>
      </c>
      <c r="X35" s="779"/>
      <c r="Y35" s="779"/>
      <c r="Z35" s="779"/>
      <c r="AA35" s="779"/>
      <c r="AB35" s="780"/>
    </row>
    <row r="36" spans="1:31" ht="4.5" customHeight="1">
      <c r="A36" s="5"/>
      <c r="B36" s="145"/>
      <c r="C36" s="146"/>
      <c r="D36" s="146"/>
      <c r="E36" s="131"/>
      <c r="F36" s="131"/>
      <c r="G36" s="140"/>
      <c r="H36" s="120"/>
      <c r="I36" s="132"/>
      <c r="J36" s="132"/>
      <c r="K36" s="132"/>
      <c r="L36" s="132"/>
      <c r="M36" s="132"/>
      <c r="N36" s="132"/>
      <c r="O36" s="132"/>
      <c r="P36" s="132"/>
      <c r="Q36" s="132"/>
      <c r="R36" s="132"/>
      <c r="S36" s="132"/>
      <c r="T36" s="132"/>
      <c r="U36" s="133"/>
    </row>
    <row r="37" spans="1:31" ht="57" customHeight="1">
      <c r="A37" s="5"/>
      <c r="B37" s="823" t="s">
        <v>600</v>
      </c>
      <c r="C37" s="824"/>
      <c r="D37" s="824"/>
      <c r="E37" s="835">
        <v>3</v>
      </c>
      <c r="F37" s="835"/>
      <c r="G37" s="141" t="e">
        <f ca="1">UPSIDE_STATIC_VALUE</f>
        <v>#REF!</v>
      </c>
      <c r="H37" s="120"/>
      <c r="I37" s="808"/>
      <c r="J37" s="808"/>
      <c r="K37" s="808"/>
      <c r="L37" s="808"/>
      <c r="M37" s="808"/>
      <c r="N37" s="808"/>
      <c r="O37" s="808"/>
      <c r="P37" s="808"/>
      <c r="Q37" s="808"/>
      <c r="R37" s="808"/>
      <c r="S37" s="808"/>
      <c r="T37" s="808"/>
      <c r="U37" s="809"/>
      <c r="W37" s="778" t="s">
        <v>605</v>
      </c>
      <c r="X37" s="779"/>
      <c r="Y37" s="779"/>
      <c r="Z37" s="779"/>
      <c r="AA37" s="779"/>
      <c r="AB37" s="780"/>
    </row>
    <row r="38" spans="1:31" ht="4.5" customHeight="1">
      <c r="A38" s="5"/>
      <c r="B38" s="145"/>
      <c r="C38" s="146"/>
      <c r="D38" s="146"/>
      <c r="E38" s="131"/>
      <c r="F38" s="131"/>
      <c r="G38" s="140"/>
      <c r="H38" s="120"/>
      <c r="I38" s="132"/>
      <c r="J38" s="132"/>
      <c r="K38" s="132"/>
      <c r="L38" s="132"/>
      <c r="M38" s="132"/>
      <c r="N38" s="132"/>
      <c r="O38" s="132"/>
      <c r="P38" s="132"/>
      <c r="Q38" s="132"/>
      <c r="R38" s="132"/>
      <c r="S38" s="132"/>
      <c r="T38" s="132"/>
      <c r="U38" s="133"/>
    </row>
    <row r="39" spans="1:31" ht="57" customHeight="1">
      <c r="A39" s="5"/>
      <c r="B39" s="826" t="s">
        <v>601</v>
      </c>
      <c r="C39" s="827"/>
      <c r="D39" s="827"/>
      <c r="E39" s="828">
        <v>3</v>
      </c>
      <c r="F39" s="828"/>
      <c r="G39" s="142" t="e">
        <f ca="1">TARGET_PRICE_UPSIDE_REPORTING_CCY</f>
        <v>#NAME?</v>
      </c>
      <c r="H39" s="137"/>
      <c r="I39" s="839"/>
      <c r="J39" s="839"/>
      <c r="K39" s="839"/>
      <c r="L39" s="839"/>
      <c r="M39" s="839"/>
      <c r="N39" s="839"/>
      <c r="O39" s="839"/>
      <c r="P39" s="839"/>
      <c r="Q39" s="839"/>
      <c r="R39" s="839"/>
      <c r="S39" s="839"/>
      <c r="T39" s="839"/>
      <c r="U39" s="840"/>
      <c r="W39" s="778" t="s">
        <v>606</v>
      </c>
      <c r="X39" s="779"/>
      <c r="Y39" s="779"/>
      <c r="Z39" s="779"/>
      <c r="AA39" s="779"/>
      <c r="AB39" s="780"/>
    </row>
    <row r="40" spans="1:31" ht="11.25" customHeight="1">
      <c r="B40" s="147"/>
      <c r="C40" s="147"/>
      <c r="D40" s="147"/>
      <c r="E40" s="148"/>
      <c r="F40" s="148"/>
      <c r="G40" s="147"/>
      <c r="H40" s="147"/>
      <c r="I40" s="147"/>
      <c r="J40" s="147"/>
      <c r="K40" s="147"/>
      <c r="L40" s="147"/>
      <c r="M40" s="147"/>
      <c r="N40" s="147"/>
      <c r="O40" s="147"/>
      <c r="P40" s="149"/>
      <c r="Q40" s="147"/>
      <c r="R40" s="147"/>
      <c r="S40" s="147"/>
      <c r="T40" s="147"/>
      <c r="U40" s="147"/>
      <c r="V40" s="150"/>
      <c r="W40" s="150"/>
    </row>
    <row r="41" spans="1:31" ht="11.25" customHeight="1">
      <c r="B41" s="147"/>
      <c r="C41" s="147"/>
      <c r="D41" s="147"/>
      <c r="E41" s="148"/>
      <c r="F41" s="148"/>
      <c r="G41" s="147"/>
      <c r="H41" s="147"/>
      <c r="I41" s="147"/>
      <c r="J41" s="147"/>
      <c r="K41" s="147"/>
      <c r="L41" s="147"/>
      <c r="M41" s="147"/>
      <c r="N41" s="147"/>
      <c r="O41" s="147"/>
      <c r="P41" s="147"/>
      <c r="Q41" s="147"/>
      <c r="R41" s="147"/>
      <c r="S41" s="147"/>
      <c r="T41" s="147"/>
      <c r="U41" s="147"/>
      <c r="V41" s="86"/>
      <c r="W41" s="86"/>
    </row>
    <row r="42" spans="1:31" ht="11.25" customHeight="1">
      <c r="B42" s="147"/>
      <c r="C42" s="147"/>
      <c r="D42" s="147"/>
      <c r="E42" s="148"/>
      <c r="F42" s="148"/>
      <c r="G42" s="147"/>
      <c r="H42" s="147"/>
      <c r="I42" s="147"/>
      <c r="J42" s="147"/>
      <c r="K42" s="147"/>
      <c r="L42" s="147"/>
      <c r="M42" s="147"/>
      <c r="N42" s="147"/>
      <c r="O42" s="147"/>
      <c r="P42" s="147"/>
      <c r="Q42" s="147"/>
      <c r="R42" s="147"/>
      <c r="S42" s="147"/>
      <c r="T42" s="147"/>
      <c r="U42" s="147"/>
      <c r="V42" s="147"/>
      <c r="W42" s="147"/>
      <c r="X42" s="147"/>
      <c r="Y42" s="147"/>
      <c r="Z42" s="147"/>
      <c r="AA42" s="147"/>
      <c r="AB42" s="147"/>
      <c r="AC42" s="147"/>
      <c r="AD42" s="147"/>
      <c r="AE42" s="147"/>
    </row>
    <row r="43" spans="1:31" ht="11.25" customHeight="1">
      <c r="B43" s="147"/>
      <c r="C43" s="147"/>
      <c r="D43" s="147"/>
      <c r="E43" s="148"/>
      <c r="F43" s="148"/>
      <c r="G43" s="147"/>
      <c r="H43" s="147"/>
      <c r="I43" s="147"/>
      <c r="J43" s="147"/>
      <c r="K43" s="147"/>
      <c r="L43" s="147"/>
      <c r="M43" s="147"/>
      <c r="N43" s="147"/>
      <c r="O43" s="147"/>
      <c r="P43" s="147"/>
      <c r="Q43" s="147"/>
      <c r="R43" s="147"/>
      <c r="S43" s="147"/>
      <c r="T43" s="147"/>
      <c r="U43" s="147"/>
      <c r="V43" s="147"/>
      <c r="W43" s="147"/>
      <c r="X43" s="147"/>
      <c r="Y43" s="147"/>
      <c r="Z43" s="147"/>
      <c r="AA43" s="147"/>
      <c r="AB43" s="147"/>
      <c r="AC43" s="147"/>
      <c r="AD43" s="147"/>
      <c r="AE43" s="147"/>
    </row>
    <row r="44" spans="1:31" ht="11.25" customHeight="1">
      <c r="B44" s="147"/>
      <c r="C44" s="147"/>
      <c r="D44" s="147"/>
      <c r="E44" s="148"/>
      <c r="F44" s="148"/>
      <c r="G44" s="147"/>
      <c r="H44" s="147"/>
      <c r="I44" s="147"/>
      <c r="J44" s="147"/>
      <c r="K44" s="147"/>
      <c r="L44" s="147"/>
      <c r="M44" s="147"/>
      <c r="N44" s="147"/>
      <c r="O44" s="147"/>
      <c r="P44" s="147"/>
      <c r="Q44" s="147"/>
      <c r="R44" s="147"/>
      <c r="S44" s="147"/>
      <c r="T44" s="147"/>
      <c r="U44" s="147"/>
      <c r="V44" s="147"/>
      <c r="W44" s="147"/>
      <c r="X44" s="147"/>
      <c r="Y44" s="147"/>
      <c r="Z44" s="147"/>
      <c r="AA44" s="147"/>
      <c r="AB44" s="147"/>
      <c r="AC44" s="147"/>
      <c r="AD44" s="147"/>
      <c r="AE44" s="147"/>
    </row>
    <row r="45" spans="1:31" ht="11.25" customHeight="1">
      <c r="B45" s="147"/>
      <c r="C45" s="147"/>
      <c r="D45" s="147"/>
      <c r="E45" s="148"/>
      <c r="F45" s="148"/>
      <c r="G45" s="147"/>
      <c r="H45" s="147"/>
      <c r="I45" s="147"/>
      <c r="J45" s="147"/>
      <c r="K45" s="147"/>
      <c r="L45" s="147"/>
      <c r="M45" s="147"/>
      <c r="N45" s="147"/>
      <c r="O45" s="147"/>
      <c r="P45" s="147"/>
      <c r="Q45" s="147"/>
      <c r="R45" s="147"/>
      <c r="S45" s="147"/>
      <c r="T45" s="147"/>
      <c r="U45" s="147"/>
      <c r="V45" s="147"/>
      <c r="W45" s="147"/>
      <c r="X45" s="147"/>
      <c r="Y45" s="147"/>
      <c r="Z45" s="147"/>
      <c r="AA45" s="147"/>
      <c r="AB45" s="147"/>
      <c r="AC45" s="147"/>
      <c r="AD45" s="147"/>
      <c r="AE45" s="147"/>
    </row>
    <row r="46" spans="1:31" ht="11.25" customHeight="1">
      <c r="B46" s="147"/>
      <c r="C46" s="147"/>
      <c r="D46" s="147"/>
      <c r="E46" s="148"/>
      <c r="F46" s="148"/>
      <c r="G46" s="147"/>
      <c r="H46" s="147"/>
      <c r="I46" s="147"/>
      <c r="J46" s="147"/>
      <c r="K46" s="147"/>
      <c r="L46" s="147"/>
      <c r="M46" s="147"/>
      <c r="N46" s="147"/>
      <c r="O46" s="147"/>
      <c r="P46" s="147"/>
      <c r="Q46" s="147"/>
      <c r="R46" s="147"/>
      <c r="S46" s="147"/>
      <c r="T46" s="147"/>
      <c r="U46" s="147"/>
      <c r="V46" s="147"/>
      <c r="W46" s="147"/>
      <c r="X46" s="147"/>
      <c r="Y46" s="147"/>
      <c r="Z46" s="147"/>
      <c r="AA46" s="147"/>
      <c r="AB46" s="147"/>
      <c r="AC46" s="147"/>
      <c r="AD46" s="147"/>
      <c r="AE46" s="147"/>
    </row>
    <row r="47" spans="1:31" ht="11.25" customHeight="1">
      <c r="B47" s="147"/>
      <c r="C47" s="147"/>
      <c r="D47" s="147"/>
      <c r="E47" s="148"/>
      <c r="F47" s="148"/>
      <c r="G47" s="147"/>
      <c r="H47" s="147"/>
      <c r="I47" s="147"/>
      <c r="J47" s="147"/>
      <c r="K47" s="147"/>
      <c r="L47" s="147"/>
      <c r="M47" s="147"/>
      <c r="N47" s="147"/>
      <c r="O47" s="147"/>
      <c r="P47" s="147"/>
      <c r="Q47" s="147"/>
      <c r="R47" s="147"/>
      <c r="S47" s="147"/>
      <c r="T47" s="147"/>
      <c r="U47" s="147"/>
      <c r="V47" s="147"/>
      <c r="W47" s="147"/>
      <c r="X47" s="147"/>
      <c r="Y47" s="147"/>
      <c r="Z47" s="147"/>
      <c r="AA47" s="147"/>
      <c r="AB47" s="147"/>
      <c r="AC47" s="147"/>
      <c r="AD47" s="147"/>
      <c r="AE47" s="147"/>
    </row>
    <row r="48" spans="1:31" ht="11.25" customHeight="1">
      <c r="B48" s="147"/>
      <c r="C48" s="147"/>
      <c r="D48" s="147"/>
      <c r="E48" s="148"/>
      <c r="F48" s="148"/>
      <c r="G48" s="147"/>
      <c r="H48" s="147"/>
      <c r="I48" s="147"/>
      <c r="J48" s="147"/>
      <c r="K48" s="147"/>
      <c r="L48" s="147"/>
      <c r="M48" s="147"/>
      <c r="N48" s="147"/>
      <c r="O48" s="147"/>
      <c r="P48" s="147"/>
      <c r="Q48" s="147"/>
      <c r="R48" s="147"/>
      <c r="S48" s="147"/>
      <c r="T48" s="147"/>
      <c r="U48" s="147"/>
      <c r="V48" s="147"/>
      <c r="W48" s="147"/>
      <c r="X48" s="147"/>
      <c r="Y48" s="147"/>
      <c r="Z48" s="147"/>
      <c r="AA48" s="147"/>
      <c r="AB48" s="147"/>
      <c r="AC48" s="147"/>
      <c r="AD48" s="147"/>
      <c r="AE48" s="147"/>
    </row>
    <row r="49" spans="2:31" ht="11.25" customHeight="1">
      <c r="B49" s="147"/>
      <c r="C49" s="147"/>
      <c r="D49" s="147"/>
      <c r="E49" s="148"/>
      <c r="F49" s="148"/>
      <c r="G49" s="147"/>
      <c r="H49" s="147"/>
      <c r="I49" s="147"/>
      <c r="J49" s="147"/>
      <c r="K49" s="147"/>
      <c r="L49" s="147"/>
      <c r="M49" s="147"/>
      <c r="N49" s="147"/>
      <c r="O49" s="147"/>
      <c r="P49" s="147"/>
      <c r="Q49" s="147"/>
      <c r="R49" s="147"/>
      <c r="S49" s="147"/>
      <c r="T49" s="147"/>
      <c r="U49" s="147"/>
      <c r="V49" s="147"/>
      <c r="W49" s="147"/>
      <c r="X49" s="147"/>
      <c r="Y49" s="147"/>
      <c r="Z49" s="147"/>
      <c r="AA49" s="147"/>
      <c r="AB49" s="147"/>
      <c r="AC49" s="147"/>
      <c r="AD49" s="147"/>
      <c r="AE49" s="147"/>
    </row>
    <row r="50" spans="2:31" ht="11.25" customHeight="1">
      <c r="B50" s="147"/>
      <c r="C50" s="147"/>
      <c r="D50" s="147"/>
      <c r="E50" s="148"/>
      <c r="F50" s="148"/>
      <c r="G50" s="147"/>
      <c r="H50" s="147"/>
      <c r="I50" s="147"/>
      <c r="J50" s="147"/>
      <c r="K50" s="147"/>
      <c r="L50" s="147"/>
      <c r="M50" s="147"/>
      <c r="N50" s="147"/>
      <c r="O50" s="147"/>
      <c r="P50" s="147"/>
      <c r="Q50" s="147"/>
      <c r="R50" s="147"/>
      <c r="S50" s="147"/>
      <c r="T50" s="147"/>
      <c r="U50" s="147"/>
      <c r="V50" s="147"/>
      <c r="W50" s="147"/>
      <c r="X50" s="147"/>
      <c r="Y50" s="147"/>
      <c r="Z50" s="147"/>
      <c r="AA50" s="147"/>
      <c r="AB50" s="147"/>
      <c r="AC50" s="147"/>
      <c r="AD50" s="147"/>
      <c r="AE50" s="147"/>
    </row>
    <row r="51" spans="2:31" ht="9.75" customHeight="1">
      <c r="B51" s="147"/>
      <c r="C51" s="147"/>
      <c r="D51" s="147"/>
      <c r="E51" s="148"/>
      <c r="F51" s="148"/>
      <c r="G51" s="147"/>
      <c r="H51" s="147"/>
      <c r="I51" s="147"/>
      <c r="J51" s="147"/>
      <c r="K51" s="147"/>
      <c r="L51" s="147"/>
      <c r="M51" s="147"/>
      <c r="N51" s="147"/>
      <c r="O51" s="147"/>
      <c r="P51" s="147"/>
      <c r="Q51" s="147"/>
      <c r="R51" s="147"/>
      <c r="S51" s="147"/>
      <c r="T51" s="147"/>
      <c r="U51" s="147"/>
      <c r="V51" s="147"/>
      <c r="W51" s="147"/>
      <c r="X51" s="147"/>
      <c r="Y51" s="147"/>
      <c r="Z51" s="147"/>
      <c r="AA51" s="147"/>
      <c r="AB51" s="147"/>
      <c r="AC51" s="147"/>
      <c r="AD51" s="147"/>
      <c r="AE51" s="147"/>
    </row>
    <row r="52" spans="2:31">
      <c r="B52" s="147"/>
      <c r="C52" s="147"/>
      <c r="D52" s="147"/>
      <c r="E52" s="148"/>
      <c r="F52" s="148"/>
      <c r="G52" s="147"/>
      <c r="H52" s="147"/>
      <c r="I52" s="147"/>
      <c r="J52" s="147"/>
      <c r="K52" s="147"/>
      <c r="L52" s="147"/>
      <c r="M52" s="147"/>
      <c r="N52" s="147"/>
      <c r="O52" s="147"/>
      <c r="P52" s="147"/>
      <c r="Q52" s="147"/>
      <c r="R52" s="147"/>
      <c r="S52" s="147"/>
      <c r="T52" s="147"/>
      <c r="U52" s="147"/>
      <c r="V52" s="147"/>
      <c r="W52" s="147"/>
      <c r="X52" s="147"/>
      <c r="Y52" s="147"/>
      <c r="Z52" s="147"/>
      <c r="AA52" s="147"/>
      <c r="AB52" s="147"/>
      <c r="AC52" s="147"/>
      <c r="AD52" s="147"/>
      <c r="AE52" s="147"/>
    </row>
    <row r="53" spans="2:31">
      <c r="B53" s="147"/>
      <c r="C53" s="147"/>
      <c r="D53" s="147"/>
      <c r="E53" s="148"/>
      <c r="F53" s="148"/>
      <c r="G53" s="147"/>
      <c r="H53" s="147"/>
      <c r="I53" s="147"/>
      <c r="J53" s="147"/>
      <c r="K53" s="147"/>
      <c r="L53" s="147"/>
      <c r="M53" s="147"/>
      <c r="N53" s="147"/>
      <c r="O53" s="147"/>
      <c r="P53" s="147"/>
      <c r="Q53" s="147"/>
      <c r="R53" s="147"/>
      <c r="S53" s="147"/>
      <c r="T53" s="147"/>
      <c r="U53" s="147"/>
      <c r="V53" s="147"/>
      <c r="W53" s="147"/>
      <c r="X53" s="147"/>
      <c r="Y53" s="147"/>
      <c r="Z53" s="147"/>
      <c r="AA53" s="147"/>
      <c r="AB53" s="147"/>
      <c r="AC53" s="147"/>
      <c r="AD53" s="147"/>
      <c r="AE53" s="147"/>
    </row>
  </sheetData>
  <sheetProtection password="A921" sheet="1" objects="1" scenarios="1" formatCells="0" formatColumns="0" formatRows="0" insertHyperlinks="0" autoFilter="0" pivotTables="0"/>
  <mergeCells count="56">
    <mergeCell ref="I39:U39"/>
    <mergeCell ref="I28:U28"/>
    <mergeCell ref="I30:U30"/>
    <mergeCell ref="I32:U32"/>
    <mergeCell ref="I35:U35"/>
    <mergeCell ref="I37:U37"/>
    <mergeCell ref="I34:U34"/>
    <mergeCell ref="B28:D28"/>
    <mergeCell ref="E28:F28"/>
    <mergeCell ref="B22:D24"/>
    <mergeCell ref="G22:G24"/>
    <mergeCell ref="B17:D19"/>
    <mergeCell ref="E17:F20"/>
    <mergeCell ref="G17:G19"/>
    <mergeCell ref="E22:F25"/>
    <mergeCell ref="B27:D27"/>
    <mergeCell ref="E27:F27"/>
    <mergeCell ref="B30:D30"/>
    <mergeCell ref="E30:F30"/>
    <mergeCell ref="B39:D39"/>
    <mergeCell ref="E39:F39"/>
    <mergeCell ref="B32:D32"/>
    <mergeCell ref="E32:F32"/>
    <mergeCell ref="B34:D34"/>
    <mergeCell ref="E34:F34"/>
    <mergeCell ref="B35:D35"/>
    <mergeCell ref="E35:F35"/>
    <mergeCell ref="B37:D37"/>
    <mergeCell ref="E37:F37"/>
    <mergeCell ref="B9:D9"/>
    <mergeCell ref="E9:F9"/>
    <mergeCell ref="B11:D11"/>
    <mergeCell ref="E11:F11"/>
    <mergeCell ref="I11:U11"/>
    <mergeCell ref="R3:T3"/>
    <mergeCell ref="R2:T2"/>
    <mergeCell ref="G1:Q3"/>
    <mergeCell ref="I27:U27"/>
    <mergeCell ref="I12:U14"/>
    <mergeCell ref="I17:U19"/>
    <mergeCell ref="I20:U20"/>
    <mergeCell ref="I22:U24"/>
    <mergeCell ref="I25:U25"/>
    <mergeCell ref="E12:F15"/>
    <mergeCell ref="B12:D14"/>
    <mergeCell ref="G12:G14"/>
    <mergeCell ref="I15:U15"/>
    <mergeCell ref="W12:AB14"/>
    <mergeCell ref="W17:AB19"/>
    <mergeCell ref="W37:AB37"/>
    <mergeCell ref="W39:AB39"/>
    <mergeCell ref="W28:AB28"/>
    <mergeCell ref="W30:AB30"/>
    <mergeCell ref="W32:AB32"/>
    <mergeCell ref="W35:AB35"/>
    <mergeCell ref="W22:AB24"/>
  </mergeCells>
  <conditionalFormatting sqref="E9:F9 E11:F14 E17:F19 E27:F28 E30:F30 E32:F32 E34:F35 E37:F37 E39:F39">
    <cfRule type="expression" dxfId="31" priority="13">
      <formula>OR(E9&lt;1,E9&gt;5)</formula>
    </cfRule>
    <cfRule type="expression" dxfId="30" priority="14">
      <formula>AND(E9&gt;4.2,E9&lt;=5)</formula>
    </cfRule>
    <cfRule type="expression" dxfId="29" priority="15">
      <formula>AND(E9&gt;3.4,E9&lt;=4.2)</formula>
    </cfRule>
    <cfRule type="expression" dxfId="28" priority="16">
      <formula>AND(E9&gt;2.6,E9&lt;=3.4)</formula>
    </cfRule>
    <cfRule type="expression" dxfId="27" priority="17">
      <formula>AND(E9&gt;1.8,E9&lt;=2.6)</formula>
    </cfRule>
    <cfRule type="expression" dxfId="26" priority="18">
      <formula>AND(E9&gt;=1,E9&lt;=1.8)</formula>
    </cfRule>
  </conditionalFormatting>
  <conditionalFormatting sqref="E9 E11:E12 E17 E22 E27:E28 E30 E32 E34:E35 E37 E39">
    <cfRule type="expression" dxfId="25" priority="1">
      <formula>OR(E9&lt;1,E9&gt;5)</formula>
    </cfRule>
    <cfRule type="expression" dxfId="24" priority="2">
      <formula>AND(E9&gt;4.2,E9&lt;=5)</formula>
    </cfRule>
    <cfRule type="expression" dxfId="23" priority="3">
      <formula>AND(E9&gt;3.4,E9&lt;=4.2)</formula>
    </cfRule>
    <cfRule type="expression" dxfId="22" priority="4">
      <formula>AND(E9&gt;2.6,E9&lt;=3.4)</formula>
    </cfRule>
    <cfRule type="expression" dxfId="21" priority="5">
      <formula>AND(E9&gt;1.8,E9&lt;=2.6)</formula>
    </cfRule>
    <cfRule type="expression" dxfId="20" priority="6">
      <formula>AND(E9&gt;=1,E9&lt;=1.8)</formula>
    </cfRule>
  </conditionalFormatting>
  <pageMargins left="0.31496062992125984" right="0.31496062992125984" top="0.35433070866141736" bottom="0.35433070866141736" header="0.31496062992125984" footer="0.31496062992125984"/>
  <pageSetup paperSize="9" orientation="portrait" horizontalDpi="1200" verticalDpi="1200" r:id="rId1"/>
  <ignoredErrors>
    <ignoredError sqref="E13:F16 E29:F29 E36:F36 F12 E18:F21 F17 F28 E31:F31 F30 F32 F35 E38:F38 F37 F39" unlockedFormula="1"/>
    <ignoredError sqref="G29 G31" evalError="1" unlockedFormula="1"/>
    <ignoredError sqref="G35:G37 G38:G39 U4:U5 G32 G28" evalError="1"/>
  </ignoredError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SESG"/>
  <dimension ref="A1:AI81"/>
  <sheetViews>
    <sheetView showGridLines="0" tabSelected="1" showWhiteSpace="0" zoomScale="115" zoomScaleNormal="115" workbookViewId="0">
      <selection activeCell="L23" sqref="L23"/>
    </sheetView>
  </sheetViews>
  <sheetFormatPr defaultRowHeight="15"/>
  <cols>
    <col min="1" max="1" width="1.33203125" style="14" customWidth="1"/>
    <col min="2" max="2" width="16.1640625" style="14" customWidth="1"/>
    <col min="3" max="3" width="1.33203125" style="14" customWidth="1"/>
    <col min="4" max="4" width="7" style="14" customWidth="1"/>
    <col min="5" max="5" width="21.33203125" style="14" customWidth="1"/>
    <col min="6" max="6" width="12.6640625" style="14" customWidth="1"/>
    <col min="7" max="8" width="12.6640625" style="14" hidden="1" customWidth="1"/>
    <col min="9" max="9" width="47.1640625" style="14" customWidth="1"/>
    <col min="10" max="10" width="7.83203125" style="14" customWidth="1"/>
    <col min="11" max="11" width="21.6640625" style="14" customWidth="1"/>
    <col min="12" max="12" width="64.6640625" style="14" customWidth="1"/>
    <col min="13" max="23" width="5.1640625" style="14" customWidth="1"/>
    <col min="24" max="30" width="5.83203125" style="14" customWidth="1"/>
    <col min="31" max="16384" width="9.33203125" style="14"/>
  </cols>
  <sheetData>
    <row r="1" spans="1:31" ht="12" customHeight="1">
      <c r="A1" s="5"/>
      <c r="B1" s="114"/>
      <c r="C1" s="115"/>
      <c r="D1" s="115"/>
      <c r="E1" s="804" t="str">
        <f>DL_SEC_NAME &amp; ""</f>
        <v>KONINKLIJKE DSM NV ORDINARY SHARES EUR1.50</v>
      </c>
      <c r="F1" s="804"/>
      <c r="G1" s="804"/>
      <c r="H1" s="804"/>
      <c r="I1" s="804"/>
      <c r="J1" s="71" t="s">
        <v>20</v>
      </c>
      <c r="K1" s="151">
        <f ca="1">PRICE_DATE</f>
        <v>43692</v>
      </c>
      <c r="L1" s="152"/>
      <c r="M1" s="152"/>
      <c r="N1" s="152"/>
      <c r="O1" s="152"/>
      <c r="P1" s="152"/>
      <c r="R1" s="152"/>
      <c r="S1" s="153"/>
      <c r="T1" s="13"/>
      <c r="U1" s="13"/>
      <c r="V1" s="16"/>
      <c r="W1" s="116"/>
      <c r="X1" s="116"/>
      <c r="Y1" s="116"/>
      <c r="Z1" s="116"/>
      <c r="AA1" s="116"/>
      <c r="AE1" s="154" t="s">
        <v>66</v>
      </c>
    </row>
    <row r="2" spans="1:31" ht="12" customHeight="1">
      <c r="A2" s="5"/>
      <c r="B2" s="114"/>
      <c r="C2" s="115"/>
      <c r="D2" s="115"/>
      <c r="E2" s="804"/>
      <c r="F2" s="804"/>
      <c r="G2" s="804"/>
      <c r="H2" s="804"/>
      <c r="I2" s="804"/>
      <c r="J2" s="71" t="s">
        <v>1</v>
      </c>
      <c r="K2" s="155" t="str">
        <f>TEXT(SEC_CODE,"0000000")</f>
        <v>B0HZL93</v>
      </c>
      <c r="L2" s="152"/>
      <c r="M2" s="152"/>
      <c r="N2" s="152"/>
      <c r="O2" s="152"/>
      <c r="P2" s="152"/>
      <c r="R2" s="152"/>
      <c r="S2" s="153"/>
      <c r="T2" s="13"/>
      <c r="U2" s="13"/>
      <c r="V2" s="16"/>
      <c r="W2" s="156"/>
      <c r="X2" s="156"/>
      <c r="Y2" s="156"/>
      <c r="AE2" s="157" t="s">
        <v>67</v>
      </c>
    </row>
    <row r="3" spans="1:31" ht="12" customHeight="1">
      <c r="A3" s="5"/>
      <c r="B3" s="114"/>
      <c r="C3" s="115"/>
      <c r="D3" s="115"/>
      <c r="E3" s="804"/>
      <c r="F3" s="804"/>
      <c r="G3" s="804"/>
      <c r="H3" s="804"/>
      <c r="I3" s="804"/>
      <c r="J3" s="118"/>
      <c r="K3" s="118"/>
      <c r="L3" s="152"/>
      <c r="M3" s="152"/>
      <c r="N3" s="152"/>
      <c r="O3" s="152"/>
      <c r="P3" s="152"/>
      <c r="R3" s="152"/>
      <c r="S3" s="153"/>
      <c r="T3" s="13"/>
      <c r="U3" s="13"/>
      <c r="V3" s="16"/>
      <c r="W3" s="156"/>
      <c r="X3" s="156"/>
      <c r="Y3" s="156"/>
      <c r="AE3" s="157" t="s">
        <v>562</v>
      </c>
    </row>
    <row r="4" spans="1:31" ht="12" customHeight="1">
      <c r="A4" s="5"/>
      <c r="B4" s="114"/>
      <c r="C4" s="158"/>
      <c r="D4" s="158"/>
      <c r="E4" s="850" t="s">
        <v>68</v>
      </c>
      <c r="F4" s="850"/>
      <c r="G4" s="850"/>
      <c r="H4" s="850"/>
      <c r="I4" s="850"/>
      <c r="J4" s="118"/>
      <c r="K4" s="118"/>
      <c r="L4" s="152"/>
      <c r="M4" s="152"/>
      <c r="N4" s="152"/>
      <c r="O4" s="152"/>
      <c r="P4" s="152"/>
      <c r="R4" s="152"/>
      <c r="S4" s="153"/>
      <c r="T4" s="13"/>
      <c r="U4" s="13"/>
      <c r="V4" s="16"/>
      <c r="W4" s="159"/>
      <c r="X4" s="159"/>
      <c r="Y4" s="159"/>
      <c r="AE4" s="157" t="s">
        <v>563</v>
      </c>
    </row>
    <row r="5" spans="1:31" ht="12" customHeight="1">
      <c r="A5" s="5"/>
      <c r="B5" s="114"/>
      <c r="C5" s="158"/>
      <c r="D5" s="158"/>
      <c r="E5" s="850"/>
      <c r="F5" s="850"/>
      <c r="G5" s="850"/>
      <c r="H5" s="850"/>
      <c r="I5" s="850"/>
      <c r="J5" s="114"/>
      <c r="K5" s="114"/>
      <c r="L5" s="87"/>
      <c r="M5" s="87"/>
      <c r="N5" s="87"/>
      <c r="O5" s="87"/>
      <c r="P5" s="87"/>
      <c r="R5" s="87"/>
      <c r="S5" s="153"/>
      <c r="T5" s="13"/>
      <c r="U5" s="13"/>
      <c r="V5" s="16"/>
      <c r="W5" s="147"/>
      <c r="X5" s="147"/>
      <c r="Y5" s="147"/>
      <c r="AE5" s="157" t="s">
        <v>533</v>
      </c>
    </row>
    <row r="6" spans="1:31" ht="12" customHeight="1">
      <c r="A6" s="5"/>
      <c r="B6" s="114"/>
      <c r="C6" s="5"/>
      <c r="D6" s="5"/>
      <c r="E6" s="5"/>
      <c r="F6" s="5"/>
      <c r="G6" s="5"/>
      <c r="H6" s="5"/>
      <c r="I6" s="5"/>
      <c r="J6" s="114"/>
      <c r="K6" s="114"/>
      <c r="L6" s="87"/>
      <c r="M6" s="87"/>
      <c r="N6" s="87"/>
      <c r="O6" s="87"/>
      <c r="R6" s="87"/>
      <c r="S6" s="13"/>
      <c r="T6" s="13"/>
      <c r="U6" s="13"/>
      <c r="V6" s="13"/>
      <c r="W6" s="13"/>
      <c r="X6" s="13"/>
      <c r="Y6" s="13"/>
    </row>
    <row r="7" spans="1:31" ht="12" customHeight="1">
      <c r="A7" s="5"/>
      <c r="B7" s="114"/>
      <c r="C7" s="114"/>
      <c r="D7" s="114"/>
      <c r="E7" s="114"/>
      <c r="F7" s="114"/>
      <c r="G7" s="114"/>
      <c r="H7" s="114"/>
      <c r="I7" s="853"/>
      <c r="J7" s="853"/>
      <c r="K7" s="114"/>
      <c r="L7" s="87"/>
      <c r="M7" s="87"/>
      <c r="N7" s="87"/>
      <c r="O7" s="87"/>
      <c r="R7" s="87"/>
    </row>
    <row r="8" spans="1:31" ht="12" customHeight="1">
      <c r="A8" s="5"/>
      <c r="B8" s="114"/>
      <c r="C8" s="5"/>
      <c r="D8" s="5"/>
      <c r="E8" s="5"/>
      <c r="F8" s="5"/>
      <c r="G8" s="5"/>
      <c r="H8" s="5"/>
      <c r="I8" s="5"/>
      <c r="J8" s="114"/>
      <c r="K8" s="114"/>
      <c r="L8" s="87"/>
      <c r="M8" s="87"/>
      <c r="N8" s="87"/>
      <c r="O8" s="87"/>
      <c r="P8" s="87"/>
      <c r="R8" s="87"/>
    </row>
    <row r="9" spans="1:31" ht="12" customHeight="1">
      <c r="A9" s="5"/>
      <c r="B9" s="120"/>
      <c r="C9" s="5"/>
      <c r="D9" s="5"/>
      <c r="E9" s="5"/>
      <c r="F9" s="5"/>
      <c r="G9" s="5"/>
      <c r="H9" s="5"/>
      <c r="I9" s="5"/>
      <c r="J9" s="120"/>
      <c r="K9" s="120"/>
      <c r="L9" s="147"/>
      <c r="M9" s="147"/>
      <c r="N9" s="147"/>
      <c r="O9" s="147"/>
      <c r="P9" s="147"/>
      <c r="Q9" s="147"/>
      <c r="R9" s="147"/>
      <c r="S9" s="13"/>
      <c r="T9" s="13"/>
      <c r="U9" s="13"/>
      <c r="V9" s="13"/>
      <c r="W9" s="13"/>
      <c r="X9" s="13"/>
      <c r="Y9" s="13"/>
    </row>
    <row r="10" spans="1:31" ht="27" customHeight="1">
      <c r="A10" s="5"/>
      <c r="B10" s="238" t="s">
        <v>69</v>
      </c>
      <c r="C10" s="238"/>
      <c r="D10" s="848" t="s">
        <v>100</v>
      </c>
      <c r="E10" s="851"/>
      <c r="F10" s="238" t="s">
        <v>561</v>
      </c>
      <c r="G10" s="239" t="s">
        <v>91</v>
      </c>
      <c r="H10" s="238" t="s">
        <v>90</v>
      </c>
      <c r="I10" s="238" t="s">
        <v>101</v>
      </c>
      <c r="J10" s="848" t="s">
        <v>70</v>
      </c>
      <c r="K10" s="848"/>
      <c r="L10" s="856" t="s">
        <v>9</v>
      </c>
      <c r="M10" s="147"/>
      <c r="N10" s="147"/>
      <c r="O10" s="147"/>
      <c r="P10" s="147"/>
      <c r="Q10" s="147"/>
      <c r="R10" s="147"/>
      <c r="S10" s="153"/>
      <c r="T10" s="13"/>
      <c r="U10" s="13"/>
      <c r="V10" s="16"/>
      <c r="W10" s="159"/>
      <c r="X10" s="159"/>
      <c r="Y10" s="159"/>
      <c r="Z10" s="87"/>
      <c r="AA10" s="87"/>
    </row>
    <row r="11" spans="1:31" s="163" customFormat="1" ht="7.5" customHeight="1">
      <c r="A11" s="161"/>
      <c r="B11" s="162"/>
      <c r="C11" s="162"/>
      <c r="D11" s="162"/>
      <c r="E11" s="121"/>
      <c r="F11" s="121"/>
      <c r="G11" s="121"/>
      <c r="H11" s="121"/>
      <c r="I11" s="162"/>
      <c r="J11" s="849"/>
      <c r="K11" s="849"/>
      <c r="L11" s="147"/>
      <c r="M11" s="147"/>
      <c r="N11" s="147"/>
      <c r="O11" s="147"/>
      <c r="P11" s="147"/>
      <c r="Q11" s="147"/>
      <c r="R11" s="147"/>
      <c r="S11" s="153"/>
      <c r="T11" s="13"/>
      <c r="U11" s="13"/>
      <c r="V11" s="16"/>
      <c r="W11" s="159"/>
      <c r="X11" s="159"/>
      <c r="Y11" s="159"/>
      <c r="Z11" s="86"/>
      <c r="AA11" s="86"/>
    </row>
    <row r="12" spans="1:31" s="18" customFormat="1" ht="45" customHeight="1">
      <c r="A12" s="8"/>
      <c r="B12" s="852" t="s">
        <v>71</v>
      </c>
      <c r="C12" s="164"/>
      <c r="D12" s="165">
        <v>1</v>
      </c>
      <c r="E12" s="166" t="s">
        <v>72</v>
      </c>
      <c r="F12" s="167" t="s">
        <v>66</v>
      </c>
      <c r="G12" s="168">
        <f>IF(F12="Unscored",1000,IF(F12="Exemplary",4,IF(F12="Improving",3,IF(F12="Not improving",2,1))))</f>
        <v>4</v>
      </c>
      <c r="H12" s="168">
        <f>DL_ESG_KEY_ISSUE_1</f>
        <v>0</v>
      </c>
      <c r="I12" s="169" t="s">
        <v>92</v>
      </c>
      <c r="J12" s="847" t="s">
        <v>73</v>
      </c>
      <c r="K12" s="847"/>
      <c r="L12" s="857" t="s">
        <v>1257</v>
      </c>
      <c r="M12" s="17"/>
      <c r="N12" s="147"/>
      <c r="O12" s="147"/>
      <c r="P12" s="147"/>
      <c r="R12" s="147"/>
      <c r="S12" s="153"/>
      <c r="T12" s="17"/>
      <c r="U12" s="17"/>
      <c r="V12" s="16"/>
      <c r="W12" s="159"/>
      <c r="X12" s="159"/>
      <c r="Y12" s="159"/>
      <c r="Z12" s="87"/>
      <c r="AA12" s="87"/>
    </row>
    <row r="13" spans="1:31" s="18" customFormat="1" ht="45" customHeight="1">
      <c r="A13" s="8"/>
      <c r="B13" s="852"/>
      <c r="C13" s="164"/>
      <c r="D13" s="170">
        <v>2</v>
      </c>
      <c r="E13" s="171" t="s">
        <v>74</v>
      </c>
      <c r="F13" s="167" t="s">
        <v>66</v>
      </c>
      <c r="G13" s="168">
        <f>IF(F13="Unscored",1000,IF(F13="Exemplary",4,IF(F13="Improving",3,IF(F13="Not improving",2,1))))</f>
        <v>4</v>
      </c>
      <c r="H13" s="172">
        <f>DL_ESG_KEY_ISSUE_2</f>
        <v>0</v>
      </c>
      <c r="I13" s="173" t="s">
        <v>75</v>
      </c>
      <c r="J13" s="847" t="s">
        <v>73</v>
      </c>
      <c r="K13" s="847"/>
      <c r="L13" s="147" t="s">
        <v>1256</v>
      </c>
      <c r="M13" s="174"/>
      <c r="N13" s="174"/>
      <c r="O13" s="174"/>
      <c r="P13" s="174"/>
      <c r="R13" s="174"/>
      <c r="S13" s="174"/>
      <c r="T13" s="174"/>
      <c r="U13" s="174"/>
      <c r="V13" s="174"/>
      <c r="W13" s="174"/>
      <c r="X13" s="174"/>
      <c r="Y13" s="174"/>
      <c r="Z13" s="87"/>
      <c r="AA13" s="87"/>
    </row>
    <row r="14" spans="1:31" s="18" customFormat="1" ht="45" customHeight="1">
      <c r="A14" s="8"/>
      <c r="B14" s="852"/>
      <c r="C14" s="164"/>
      <c r="D14" s="175">
        <v>3</v>
      </c>
      <c r="E14" s="176" t="s">
        <v>76</v>
      </c>
      <c r="F14" s="177" t="s">
        <v>562</v>
      </c>
      <c r="G14" s="178">
        <f>IF(F14="Unscored",1000,IF(F14="Exemplary",4,IF(F14="Improving",3,IF(F14="Not improving",2,1))))</f>
        <v>2</v>
      </c>
      <c r="H14" s="178">
        <f>DL_ESG_KEY_ISSUE_3</f>
        <v>0</v>
      </c>
      <c r="I14" s="179" t="s">
        <v>77</v>
      </c>
      <c r="J14" s="843" t="s">
        <v>73</v>
      </c>
      <c r="K14" s="843"/>
      <c r="L14" s="147" t="s">
        <v>1255</v>
      </c>
      <c r="M14" s="174"/>
      <c r="N14" s="174"/>
      <c r="O14" s="174"/>
      <c r="P14" s="174"/>
      <c r="R14" s="174"/>
      <c r="S14" s="174"/>
      <c r="T14" s="174"/>
      <c r="U14" s="174"/>
      <c r="V14" s="174"/>
      <c r="W14" s="174"/>
      <c r="X14" s="174"/>
      <c r="Y14" s="174"/>
      <c r="Z14" s="87"/>
      <c r="AA14" s="87"/>
    </row>
    <row r="15" spans="1:31" s="18" customFormat="1" ht="7.5" customHeight="1">
      <c r="A15" s="8"/>
      <c r="B15" s="180"/>
      <c r="C15" s="180"/>
      <c r="D15" s="180"/>
      <c r="E15" s="180"/>
      <c r="F15" s="181"/>
      <c r="G15" s="181"/>
      <c r="H15" s="181"/>
      <c r="I15" s="181"/>
      <c r="J15" s="181"/>
      <c r="K15" s="181"/>
      <c r="L15" s="147"/>
      <c r="M15" s="174"/>
      <c r="N15" s="174"/>
      <c r="O15" s="174"/>
      <c r="P15" s="174"/>
      <c r="R15" s="174"/>
      <c r="S15" s="174"/>
      <c r="T15" s="174"/>
      <c r="U15" s="174"/>
      <c r="V15" s="174"/>
      <c r="W15" s="174"/>
      <c r="X15" s="174"/>
      <c r="Y15" s="174"/>
      <c r="Z15" s="87"/>
      <c r="AA15" s="87"/>
    </row>
    <row r="16" spans="1:31" s="18" customFormat="1" ht="7.5" customHeight="1">
      <c r="A16" s="8"/>
      <c r="B16" s="182"/>
      <c r="C16" s="183"/>
      <c r="D16" s="183"/>
      <c r="E16" s="183"/>
      <c r="F16" s="184"/>
      <c r="G16" s="184"/>
      <c r="H16" s="184"/>
      <c r="I16" s="184"/>
      <c r="J16" s="184"/>
      <c r="K16" s="184"/>
      <c r="L16" s="147"/>
      <c r="M16" s="174"/>
      <c r="N16" s="174"/>
      <c r="O16" s="174"/>
      <c r="P16" s="174"/>
      <c r="Q16" s="174"/>
      <c r="R16" s="174"/>
      <c r="S16" s="174"/>
      <c r="T16" s="174"/>
      <c r="U16" s="174"/>
      <c r="V16" s="174"/>
      <c r="W16" s="174"/>
      <c r="X16" s="174"/>
      <c r="Y16" s="174"/>
      <c r="Z16" s="87"/>
      <c r="AA16" s="87"/>
    </row>
    <row r="17" spans="1:27" s="18" customFormat="1" ht="45" customHeight="1">
      <c r="A17" s="8"/>
      <c r="B17" s="824" t="s">
        <v>78</v>
      </c>
      <c r="C17" s="162"/>
      <c r="D17" s="185">
        <v>4</v>
      </c>
      <c r="E17" s="166" t="s">
        <v>79</v>
      </c>
      <c r="F17" s="167" t="s">
        <v>563</v>
      </c>
      <c r="G17" s="168">
        <f>IF(F17="Unscored",1000,IF(F17="Exemplary",4,IF(F17="Improving",3,IF(F17="Not improving",2,1))))</f>
        <v>1</v>
      </c>
      <c r="H17" s="168">
        <f>DL_ESG_KEY_ISSUE_4</f>
        <v>0</v>
      </c>
      <c r="I17" s="169" t="s">
        <v>80</v>
      </c>
      <c r="J17" s="847" t="s">
        <v>73</v>
      </c>
      <c r="K17" s="847"/>
      <c r="L17" s="147" t="s">
        <v>1261</v>
      </c>
      <c r="M17" s="174"/>
      <c r="N17" s="174"/>
      <c r="O17" s="174"/>
      <c r="P17" s="174"/>
      <c r="Q17" s="174"/>
      <c r="R17" s="174"/>
      <c r="S17" s="174"/>
      <c r="T17" s="174"/>
      <c r="U17" s="174"/>
      <c r="V17" s="174"/>
      <c r="W17" s="174"/>
      <c r="X17" s="174"/>
      <c r="Y17" s="174"/>
      <c r="Z17" s="87"/>
      <c r="AA17" s="87"/>
    </row>
    <row r="18" spans="1:27" s="18" customFormat="1" ht="45" customHeight="1">
      <c r="A18" s="8"/>
      <c r="B18" s="824"/>
      <c r="C18" s="162"/>
      <c r="D18" s="186">
        <v>5</v>
      </c>
      <c r="E18" s="171" t="s">
        <v>81</v>
      </c>
      <c r="F18" s="167" t="s">
        <v>66</v>
      </c>
      <c r="G18" s="168">
        <f>IF(F18="Unscored",1000,IF(F18="Exemplary",4,IF(F18="Improving",3,IF(F18="Not improving",2,1))))</f>
        <v>4</v>
      </c>
      <c r="H18" s="172">
        <f>DL_ESG_KEY_ISSUE_5</f>
        <v>0</v>
      </c>
      <c r="I18" s="173" t="s">
        <v>93</v>
      </c>
      <c r="J18" s="847" t="s">
        <v>73</v>
      </c>
      <c r="K18" s="847"/>
      <c r="L18" s="147" t="s">
        <v>1260</v>
      </c>
      <c r="M18" s="174"/>
      <c r="N18" s="174"/>
      <c r="O18" s="174"/>
      <c r="P18" s="174"/>
      <c r="Q18" s="174"/>
      <c r="R18" s="174"/>
      <c r="S18" s="174"/>
      <c r="T18" s="174"/>
      <c r="U18" s="174"/>
      <c r="V18" s="174"/>
      <c r="W18" s="174"/>
      <c r="X18" s="174"/>
      <c r="Y18" s="174"/>
      <c r="Z18" s="87"/>
      <c r="AA18" s="87"/>
    </row>
    <row r="19" spans="1:27" s="18" customFormat="1" ht="45" customHeight="1">
      <c r="A19" s="8"/>
      <c r="B19" s="824"/>
      <c r="C19" s="162"/>
      <c r="D19" s="187">
        <v>6</v>
      </c>
      <c r="E19" s="176" t="s">
        <v>82</v>
      </c>
      <c r="F19" s="177" t="s">
        <v>66</v>
      </c>
      <c r="G19" s="178">
        <f>IF(F19="Unscored",1000,IF(F19="Exemplary",4,IF(F19="Improving",3,IF(F19="Not improving",2,1))))</f>
        <v>4</v>
      </c>
      <c r="H19" s="178">
        <f>DL_ESG_KEY_ISSUE_6</f>
        <v>0</v>
      </c>
      <c r="I19" s="179" t="s">
        <v>94</v>
      </c>
      <c r="J19" s="843" t="s">
        <v>73</v>
      </c>
      <c r="K19" s="843"/>
      <c r="L19" s="147" t="s">
        <v>1259</v>
      </c>
      <c r="M19" s="188"/>
      <c r="N19" s="188"/>
      <c r="O19" s="188"/>
      <c r="P19" s="188"/>
      <c r="Q19" s="188"/>
      <c r="R19" s="188"/>
      <c r="S19" s="188"/>
      <c r="T19" s="188"/>
      <c r="U19" s="188"/>
      <c r="V19" s="188"/>
      <c r="W19" s="188"/>
      <c r="X19" s="188"/>
      <c r="Y19" s="188"/>
      <c r="Z19" s="87"/>
      <c r="AA19" s="87"/>
    </row>
    <row r="20" spans="1:27" s="18" customFormat="1" ht="7.5" customHeight="1">
      <c r="A20" s="8"/>
      <c r="B20" s="180"/>
      <c r="C20" s="180"/>
      <c r="D20" s="180"/>
      <c r="E20" s="180"/>
      <c r="F20" s="189"/>
      <c r="G20" s="181"/>
      <c r="H20" s="181"/>
      <c r="I20" s="189"/>
      <c r="J20" s="181"/>
      <c r="K20" s="181"/>
      <c r="L20" s="147"/>
      <c r="M20" s="188"/>
      <c r="N20" s="188"/>
      <c r="O20" s="188"/>
      <c r="P20" s="188"/>
      <c r="Q20" s="188"/>
      <c r="R20" s="188"/>
      <c r="S20" s="188"/>
      <c r="T20" s="188"/>
      <c r="U20" s="188"/>
      <c r="V20" s="188"/>
      <c r="W20" s="188"/>
      <c r="X20" s="188"/>
      <c r="Y20" s="188"/>
      <c r="Z20" s="87"/>
      <c r="AA20" s="87"/>
    </row>
    <row r="21" spans="1:27" s="18" customFormat="1" ht="7.5" customHeight="1">
      <c r="A21" s="8"/>
      <c r="B21" s="182"/>
      <c r="C21" s="183"/>
      <c r="D21" s="183"/>
      <c r="E21" s="183"/>
      <c r="F21" s="183"/>
      <c r="G21" s="183"/>
      <c r="H21" s="183"/>
      <c r="I21" s="190"/>
      <c r="J21" s="800"/>
      <c r="K21" s="800"/>
      <c r="L21" s="147"/>
      <c r="M21" s="188"/>
      <c r="N21" s="188"/>
      <c r="O21" s="188"/>
      <c r="P21" s="188"/>
      <c r="Q21" s="188"/>
      <c r="R21" s="188"/>
      <c r="S21" s="188"/>
      <c r="T21" s="188"/>
      <c r="U21" s="188"/>
      <c r="V21" s="188"/>
      <c r="W21" s="188"/>
      <c r="X21" s="188"/>
      <c r="Y21" s="188"/>
      <c r="Z21" s="87"/>
      <c r="AA21" s="87"/>
    </row>
    <row r="22" spans="1:27" s="18" customFormat="1" ht="45" customHeight="1">
      <c r="A22" s="8"/>
      <c r="B22" s="824" t="s">
        <v>83</v>
      </c>
      <c r="C22" s="162"/>
      <c r="D22" s="185">
        <v>7</v>
      </c>
      <c r="E22" s="166" t="s">
        <v>84</v>
      </c>
      <c r="F22" s="167" t="s">
        <v>66</v>
      </c>
      <c r="G22" s="168">
        <f>IF(F22="Unscored",1000,IF(F22="Exemplary",4,IF(F22="Improving",3,IF(F22="Not improving",2,1))))</f>
        <v>4</v>
      </c>
      <c r="H22" s="168">
        <f>DL_ESG_KEY_ISSUE_7</f>
        <v>0</v>
      </c>
      <c r="I22" s="169" t="s">
        <v>95</v>
      </c>
      <c r="J22" s="847" t="s">
        <v>73</v>
      </c>
      <c r="K22" s="847"/>
      <c r="L22" s="147" t="s">
        <v>1254</v>
      </c>
      <c r="M22" s="188"/>
      <c r="N22" s="188"/>
      <c r="O22" s="188"/>
      <c r="P22" s="188"/>
      <c r="Q22" s="188"/>
      <c r="R22" s="188"/>
      <c r="S22" s="191"/>
      <c r="T22" s="19"/>
      <c r="U22" s="19"/>
      <c r="V22" s="20"/>
      <c r="W22" s="188"/>
      <c r="X22" s="188"/>
      <c r="Y22" s="188"/>
      <c r="Z22" s="87"/>
      <c r="AA22" s="87"/>
    </row>
    <row r="23" spans="1:27" s="18" customFormat="1" ht="45" customHeight="1">
      <c r="A23" s="8"/>
      <c r="B23" s="824"/>
      <c r="C23" s="162"/>
      <c r="D23" s="186">
        <v>8</v>
      </c>
      <c r="E23" s="171" t="s">
        <v>98</v>
      </c>
      <c r="F23" s="167" t="s">
        <v>66</v>
      </c>
      <c r="G23" s="168">
        <f>IF(F23="Unscored",1000,IF(F23="Exemplary",4,IF(F23="Improving",3,IF(F23="Not improving",2,1))))</f>
        <v>4</v>
      </c>
      <c r="H23" s="172">
        <f>DL_ESG_KEY_ISSUE_8</f>
        <v>0</v>
      </c>
      <c r="I23" s="173" t="s">
        <v>96</v>
      </c>
      <c r="J23" s="847" t="s">
        <v>73</v>
      </c>
      <c r="K23" s="847"/>
      <c r="L23" s="147" t="s">
        <v>1258</v>
      </c>
      <c r="M23" s="174"/>
      <c r="N23" s="174"/>
      <c r="O23" s="174"/>
      <c r="P23" s="174"/>
      <c r="Q23" s="174"/>
      <c r="R23" s="174"/>
      <c r="S23" s="174"/>
      <c r="T23" s="174"/>
      <c r="U23" s="174"/>
      <c r="V23" s="174"/>
      <c r="W23" s="174"/>
      <c r="X23" s="174"/>
      <c r="Y23" s="174"/>
      <c r="Z23" s="87"/>
      <c r="AA23" s="87"/>
    </row>
    <row r="24" spans="1:27" s="18" customFormat="1" ht="45" customHeight="1">
      <c r="A24" s="8"/>
      <c r="B24" s="824"/>
      <c r="C24" s="162"/>
      <c r="D24" s="187">
        <v>9</v>
      </c>
      <c r="E24" s="176" t="s">
        <v>99</v>
      </c>
      <c r="F24" s="177" t="s">
        <v>66</v>
      </c>
      <c r="G24" s="192">
        <f>IF(F24="Unscored",1000,IF(F24="Exemplary",4,IF(F24="Improving",3,IF(F24="Not improving",2,1))))</f>
        <v>4</v>
      </c>
      <c r="H24" s="178">
        <f>DL_ESG_KEY_ISSUE_9</f>
        <v>0</v>
      </c>
      <c r="I24" s="179" t="s">
        <v>97</v>
      </c>
      <c r="J24" s="843" t="s">
        <v>73</v>
      </c>
      <c r="K24" s="843"/>
      <c r="L24" s="147" t="s">
        <v>1253</v>
      </c>
      <c r="M24" s="174"/>
      <c r="N24" s="174"/>
      <c r="O24" s="174"/>
      <c r="P24" s="174"/>
      <c r="Q24" s="174"/>
      <c r="R24" s="174"/>
      <c r="S24" s="174"/>
      <c r="T24" s="174"/>
      <c r="U24" s="174"/>
      <c r="V24" s="174"/>
      <c r="W24" s="174"/>
      <c r="X24" s="174"/>
      <c r="Y24" s="174"/>
      <c r="Z24" s="87"/>
      <c r="AA24" s="87"/>
    </row>
    <row r="25" spans="1:27" ht="7.5" customHeight="1">
      <c r="A25" s="5"/>
      <c r="B25" s="193"/>
      <c r="C25" s="193"/>
      <c r="D25" s="193"/>
      <c r="E25" s="193"/>
      <c r="F25" s="193"/>
      <c r="G25" s="193"/>
      <c r="H25" s="193"/>
      <c r="I25" s="194"/>
      <c r="J25" s="181"/>
      <c r="K25" s="181"/>
      <c r="L25" s="147"/>
      <c r="M25" s="195"/>
      <c r="N25" s="195"/>
      <c r="O25" s="195"/>
      <c r="P25" s="195"/>
      <c r="Q25" s="195"/>
      <c r="R25" s="195"/>
      <c r="S25" s="195"/>
      <c r="T25" s="195"/>
      <c r="U25" s="195"/>
      <c r="V25" s="195"/>
      <c r="W25" s="195"/>
      <c r="X25" s="195"/>
      <c r="Y25" s="195"/>
      <c r="Z25" s="87"/>
      <c r="AA25" s="87"/>
    </row>
    <row r="26" spans="1:27" ht="9.75" customHeight="1" thickBot="1">
      <c r="A26" s="5"/>
      <c r="B26" s="183"/>
      <c r="C26" s="183"/>
      <c r="D26" s="183"/>
      <c r="E26" s="183"/>
      <c r="F26" s="183"/>
      <c r="G26" s="183"/>
      <c r="H26" s="183"/>
      <c r="I26" s="190"/>
      <c r="J26" s="800"/>
      <c r="K26" s="800"/>
      <c r="L26" s="147"/>
      <c r="M26" s="195"/>
      <c r="N26" s="195"/>
      <c r="O26" s="195"/>
      <c r="P26" s="195"/>
      <c r="Q26" s="195"/>
      <c r="R26" s="195"/>
      <c r="S26" s="195"/>
      <c r="T26" s="195"/>
      <c r="U26" s="195"/>
      <c r="V26" s="195"/>
      <c r="W26" s="195"/>
      <c r="X26" s="195"/>
      <c r="Y26" s="195"/>
      <c r="Z26" s="86"/>
      <c r="AA26" s="86"/>
    </row>
    <row r="27" spans="1:27" ht="26.25" thickBot="1">
      <c r="A27" s="5"/>
      <c r="B27" s="5"/>
      <c r="C27" s="196"/>
      <c r="D27" s="196"/>
      <c r="E27" s="197" t="s">
        <v>85</v>
      </c>
      <c r="F27" s="240">
        <f>IF(SUM(G12:G14,G17:G19,G22:G24)&gt;500,0,(3-((3/27)*SUM(G12:G14,G17:G19,G22:G24)))/100)</f>
        <v>-4.4444444444444418E-3</v>
      </c>
      <c r="G27" s="198"/>
      <c r="H27" s="198"/>
      <c r="I27" s="196"/>
      <c r="J27" s="844"/>
      <c r="K27" s="844"/>
      <c r="L27" s="147"/>
      <c r="M27" s="199"/>
      <c r="N27" s="199"/>
      <c r="O27" s="199"/>
      <c r="P27" s="199"/>
      <c r="Q27" s="199"/>
      <c r="R27" s="199"/>
      <c r="S27" s="199"/>
      <c r="T27" s="199"/>
      <c r="U27" s="199"/>
      <c r="V27" s="199"/>
      <c r="W27" s="199"/>
      <c r="X27" s="199"/>
      <c r="Y27" s="199"/>
      <c r="Z27" s="86"/>
      <c r="AA27" s="86"/>
    </row>
    <row r="28" spans="1:27" ht="11.25" customHeight="1">
      <c r="A28" s="5"/>
      <c r="B28" s="5"/>
      <c r="C28" s="5"/>
      <c r="D28" s="200"/>
      <c r="E28" s="200"/>
      <c r="F28" s="200"/>
      <c r="G28" s="200"/>
      <c r="H28" s="200"/>
      <c r="I28" s="200"/>
      <c r="J28" s="845"/>
      <c r="K28" s="845"/>
      <c r="L28" s="201"/>
      <c r="M28" s="201"/>
      <c r="N28" s="202"/>
      <c r="O28" s="203"/>
      <c r="P28" s="199"/>
      <c r="Q28" s="199"/>
      <c r="R28" s="199"/>
      <c r="S28" s="199"/>
      <c r="T28" s="199"/>
      <c r="U28" s="199"/>
      <c r="V28" s="199"/>
      <c r="W28" s="199"/>
      <c r="X28" s="199"/>
      <c r="Y28" s="199"/>
      <c r="Z28" s="86"/>
      <c r="AA28" s="86"/>
    </row>
    <row r="29" spans="1:27" ht="14.25" customHeight="1">
      <c r="A29" s="5"/>
      <c r="B29" s="846" t="s">
        <v>86</v>
      </c>
      <c r="C29" s="846"/>
      <c r="D29" s="846"/>
      <c r="E29" s="846"/>
      <c r="F29" s="846"/>
      <c r="G29" s="846"/>
      <c r="H29" s="846"/>
      <c r="I29" s="846"/>
      <c r="J29" s="846"/>
      <c r="K29" s="846"/>
      <c r="L29" s="201"/>
      <c r="M29" s="201"/>
      <c r="N29" s="202"/>
      <c r="O29" s="203"/>
      <c r="P29" s="195"/>
      <c r="Q29" s="195"/>
      <c r="R29" s="195"/>
      <c r="S29" s="195"/>
      <c r="T29" s="195"/>
      <c r="U29" s="195"/>
      <c r="V29" s="195"/>
      <c r="W29" s="195"/>
      <c r="X29" s="195"/>
      <c r="Y29" s="195"/>
      <c r="Z29" s="86"/>
      <c r="AA29" s="86"/>
    </row>
    <row r="30" spans="1:27" s="21" customFormat="1" ht="46.5" customHeight="1">
      <c r="A30" s="9"/>
      <c r="B30" s="204" t="s">
        <v>87</v>
      </c>
      <c r="C30" s="204"/>
      <c r="D30" s="841"/>
      <c r="E30" s="841"/>
      <c r="F30" s="841"/>
      <c r="G30" s="841"/>
      <c r="H30" s="841"/>
      <c r="I30" s="841"/>
      <c r="J30" s="841"/>
      <c r="K30" s="841"/>
      <c r="L30" s="205"/>
      <c r="M30" s="205"/>
      <c r="N30" s="205"/>
      <c r="O30" s="205"/>
      <c r="P30" s="188"/>
      <c r="Q30" s="188"/>
      <c r="R30" s="188"/>
      <c r="S30" s="188"/>
      <c r="T30" s="188"/>
      <c r="U30" s="188"/>
      <c r="V30" s="188"/>
      <c r="W30" s="188"/>
      <c r="X30" s="188"/>
      <c r="Y30" s="188"/>
      <c r="Z30" s="206"/>
      <c r="AA30" s="206"/>
    </row>
    <row r="31" spans="1:27" s="21" customFormat="1" ht="46.5" customHeight="1">
      <c r="A31" s="9"/>
      <c r="B31" s="207" t="s">
        <v>88</v>
      </c>
      <c r="C31" s="207"/>
      <c r="D31" s="842"/>
      <c r="E31" s="842"/>
      <c r="F31" s="842"/>
      <c r="G31" s="842"/>
      <c r="H31" s="842"/>
      <c r="I31" s="842"/>
      <c r="J31" s="842"/>
      <c r="K31" s="842"/>
      <c r="L31" s="205"/>
      <c r="M31" s="205"/>
      <c r="N31" s="205"/>
      <c r="O31" s="205"/>
      <c r="P31" s="188"/>
      <c r="Q31" s="188"/>
      <c r="R31" s="188"/>
      <c r="S31" s="188"/>
      <c r="T31" s="188"/>
      <c r="U31" s="188"/>
      <c r="V31" s="188"/>
      <c r="W31" s="188"/>
      <c r="X31" s="188"/>
      <c r="Y31" s="188"/>
      <c r="Z31" s="206"/>
      <c r="AA31" s="206"/>
    </row>
    <row r="32" spans="1:27" s="21" customFormat="1" ht="46.5" customHeight="1">
      <c r="A32" s="9"/>
      <c r="B32" s="207" t="s">
        <v>89</v>
      </c>
      <c r="C32" s="207"/>
      <c r="D32" s="842"/>
      <c r="E32" s="842"/>
      <c r="F32" s="842"/>
      <c r="G32" s="842"/>
      <c r="H32" s="842"/>
      <c r="I32" s="842"/>
      <c r="J32" s="842"/>
      <c r="K32" s="842"/>
      <c r="L32" s="205"/>
      <c r="M32" s="205"/>
      <c r="N32" s="205"/>
      <c r="O32" s="205"/>
      <c r="P32" s="188"/>
      <c r="Q32" s="188"/>
      <c r="R32" s="188"/>
      <c r="S32" s="188"/>
      <c r="T32" s="188"/>
      <c r="U32" s="188"/>
      <c r="V32" s="188"/>
      <c r="W32" s="188"/>
      <c r="X32" s="188"/>
      <c r="Y32" s="188"/>
    </row>
    <row r="33" spans="2:25" ht="9.75" customHeight="1">
      <c r="B33" s="202"/>
      <c r="C33" s="202"/>
      <c r="D33" s="208"/>
      <c r="E33" s="208"/>
      <c r="F33" s="208"/>
      <c r="G33" s="208"/>
      <c r="H33" s="208"/>
      <c r="I33" s="208"/>
      <c r="J33" s="208"/>
      <c r="K33" s="208"/>
      <c r="L33" s="209"/>
      <c r="M33" s="209"/>
      <c r="N33" s="209"/>
      <c r="O33" s="209"/>
      <c r="P33" s="195"/>
      <c r="Q33" s="195"/>
      <c r="R33" s="195"/>
      <c r="S33" s="195"/>
      <c r="T33" s="195"/>
      <c r="U33" s="195"/>
      <c r="V33" s="195"/>
      <c r="W33" s="195"/>
      <c r="X33" s="195"/>
      <c r="Y33" s="195"/>
    </row>
    <row r="34" spans="2:25" ht="9.75" customHeight="1">
      <c r="B34" s="174"/>
      <c r="C34" s="174"/>
      <c r="D34" s="174"/>
      <c r="E34" s="174"/>
      <c r="F34" s="147"/>
      <c r="G34" s="147"/>
      <c r="H34" s="147"/>
      <c r="I34" s="210"/>
      <c r="J34" s="210"/>
      <c r="K34" s="211"/>
      <c r="L34" s="147"/>
      <c r="M34" s="195"/>
      <c r="N34" s="195"/>
      <c r="O34" s="195"/>
      <c r="P34" s="195"/>
      <c r="Q34" s="195"/>
      <c r="R34" s="195"/>
      <c r="S34" s="195"/>
      <c r="T34" s="195"/>
      <c r="U34" s="195"/>
      <c r="V34" s="195"/>
      <c r="W34" s="195"/>
      <c r="X34" s="195"/>
      <c r="Y34" s="195"/>
    </row>
    <row r="35" spans="2:25" ht="9.75" customHeight="1">
      <c r="B35" s="147"/>
      <c r="C35" s="147"/>
      <c r="D35" s="147"/>
      <c r="E35" s="147"/>
      <c r="F35" s="147"/>
      <c r="G35" s="147"/>
      <c r="H35" s="147"/>
      <c r="I35" s="210"/>
      <c r="J35" s="210"/>
      <c r="K35" s="211"/>
      <c r="L35" s="147"/>
      <c r="M35" s="195"/>
      <c r="N35" s="195"/>
      <c r="O35" s="195"/>
      <c r="P35" s="195"/>
      <c r="Q35" s="195"/>
      <c r="R35" s="195"/>
      <c r="S35" s="195"/>
      <c r="T35" s="195"/>
      <c r="U35" s="195"/>
      <c r="V35" s="195"/>
      <c r="W35" s="195"/>
      <c r="X35" s="195"/>
      <c r="Y35" s="195"/>
    </row>
    <row r="36" spans="2:25" ht="9.75" customHeight="1">
      <c r="B36" s="147"/>
      <c r="C36" s="147"/>
      <c r="D36" s="147"/>
      <c r="E36" s="147"/>
      <c r="F36" s="147"/>
      <c r="G36" s="147"/>
      <c r="H36" s="147"/>
      <c r="I36" s="212"/>
      <c r="J36" s="212"/>
      <c r="K36" s="213"/>
      <c r="L36" s="147"/>
      <c r="M36" s="199"/>
      <c r="N36" s="199"/>
      <c r="O36" s="199"/>
      <c r="P36" s="199"/>
      <c r="Q36" s="199"/>
      <c r="R36" s="199"/>
      <c r="S36" s="199"/>
      <c r="T36" s="199"/>
      <c r="U36" s="199"/>
      <c r="V36" s="199"/>
      <c r="W36" s="199"/>
      <c r="X36" s="199"/>
      <c r="Y36" s="199"/>
    </row>
    <row r="37" spans="2:25" ht="9.75" customHeight="1">
      <c r="B37" s="147"/>
      <c r="C37" s="147"/>
      <c r="D37" s="147"/>
      <c r="E37" s="147"/>
      <c r="F37" s="147"/>
      <c r="G37" s="147"/>
      <c r="H37" s="147"/>
      <c r="I37" s="214"/>
      <c r="J37" s="214"/>
      <c r="K37" s="215"/>
      <c r="L37" s="147"/>
      <c r="M37" s="199"/>
      <c r="N37" s="199"/>
      <c r="O37" s="199"/>
      <c r="P37" s="199"/>
      <c r="Q37" s="199"/>
      <c r="R37" s="199"/>
      <c r="S37" s="216"/>
      <c r="T37" s="22"/>
      <c r="U37" s="22"/>
      <c r="V37" s="23"/>
      <c r="W37" s="199"/>
      <c r="X37" s="199"/>
      <c r="Y37" s="199"/>
    </row>
    <row r="38" spans="2:25" ht="9.75" customHeight="1">
      <c r="B38" s="217"/>
      <c r="C38" s="217"/>
      <c r="D38" s="217"/>
      <c r="E38" s="147"/>
      <c r="F38" s="147"/>
      <c r="G38" s="147"/>
      <c r="H38" s="147"/>
      <c r="I38" s="210"/>
      <c r="J38" s="210"/>
      <c r="K38" s="211"/>
      <c r="L38" s="147"/>
      <c r="M38" s="195"/>
      <c r="N38" s="195"/>
      <c r="O38" s="195"/>
      <c r="P38" s="195"/>
      <c r="Q38" s="195"/>
      <c r="R38" s="195"/>
      <c r="S38" s="195"/>
      <c r="T38" s="195"/>
      <c r="U38" s="195"/>
      <c r="V38" s="195"/>
      <c r="W38" s="195"/>
      <c r="X38" s="195"/>
      <c r="Y38" s="195"/>
    </row>
    <row r="39" spans="2:25" ht="9.75" customHeight="1">
      <c r="B39" s="174"/>
      <c r="C39" s="174"/>
      <c r="D39" s="174"/>
      <c r="E39" s="174"/>
      <c r="F39" s="147"/>
      <c r="G39" s="147"/>
      <c r="H39" s="147"/>
      <c r="I39" s="210"/>
      <c r="J39" s="210"/>
      <c r="K39" s="211"/>
      <c r="L39" s="147"/>
      <c r="M39" s="195"/>
      <c r="N39" s="195"/>
      <c r="O39" s="195"/>
      <c r="P39" s="195"/>
      <c r="Q39" s="195"/>
      <c r="R39" s="195"/>
      <c r="S39" s="195"/>
      <c r="T39" s="195"/>
      <c r="U39" s="195"/>
      <c r="V39" s="195"/>
      <c r="W39" s="195"/>
      <c r="X39" s="195"/>
      <c r="Y39" s="195"/>
    </row>
    <row r="40" spans="2:25" ht="9.75" customHeight="1">
      <c r="B40" s="174"/>
      <c r="C40" s="174"/>
      <c r="D40" s="174"/>
      <c r="E40" s="174"/>
      <c r="F40" s="147"/>
      <c r="G40" s="147"/>
      <c r="H40" s="147"/>
      <c r="I40" s="210"/>
      <c r="J40" s="210"/>
      <c r="K40" s="211"/>
      <c r="L40" s="147"/>
      <c r="M40" s="195"/>
      <c r="N40" s="195"/>
      <c r="O40" s="195"/>
      <c r="P40" s="195"/>
      <c r="Q40" s="195"/>
      <c r="R40" s="195"/>
      <c r="S40" s="195"/>
      <c r="T40" s="195"/>
      <c r="U40" s="195"/>
      <c r="V40" s="195"/>
      <c r="W40" s="195"/>
      <c r="X40" s="195"/>
      <c r="Y40" s="195"/>
    </row>
    <row r="41" spans="2:25" ht="9.75" customHeight="1">
      <c r="B41" s="147"/>
      <c r="C41" s="147"/>
      <c r="D41" s="147"/>
      <c r="E41" s="147"/>
      <c r="F41" s="147"/>
      <c r="G41" s="147"/>
      <c r="H41" s="147"/>
      <c r="I41" s="210"/>
      <c r="J41" s="210"/>
      <c r="K41" s="211"/>
      <c r="L41" s="147"/>
      <c r="M41" s="195"/>
      <c r="N41" s="195"/>
      <c r="O41" s="195"/>
      <c r="P41" s="195"/>
      <c r="Q41" s="195"/>
      <c r="R41" s="195"/>
      <c r="S41" s="195"/>
      <c r="T41" s="195"/>
      <c r="U41" s="195"/>
      <c r="V41" s="195"/>
      <c r="W41" s="195"/>
      <c r="X41" s="195"/>
      <c r="Y41" s="195"/>
    </row>
    <row r="42" spans="2:25" ht="9.75" customHeight="1">
      <c r="B42" s="147"/>
      <c r="C42" s="147"/>
      <c r="D42" s="147"/>
      <c r="E42" s="147"/>
      <c r="F42" s="147"/>
      <c r="G42" s="147"/>
      <c r="H42" s="147"/>
      <c r="I42" s="212"/>
      <c r="J42" s="212"/>
      <c r="K42" s="213"/>
      <c r="L42" s="147"/>
      <c r="M42" s="199"/>
      <c r="N42" s="199"/>
      <c r="O42" s="199"/>
      <c r="P42" s="199"/>
      <c r="Q42" s="199"/>
      <c r="R42" s="199"/>
      <c r="S42" s="199"/>
      <c r="T42" s="199"/>
      <c r="U42" s="199"/>
      <c r="V42" s="199"/>
      <c r="W42" s="199"/>
      <c r="X42" s="199"/>
      <c r="Y42" s="199"/>
    </row>
    <row r="43" spans="2:25" ht="9.75" customHeight="1">
      <c r="B43" s="218"/>
      <c r="C43" s="218"/>
      <c r="D43" s="218"/>
      <c r="E43" s="218"/>
      <c r="F43" s="147"/>
      <c r="G43" s="147"/>
      <c r="H43" s="147"/>
      <c r="I43" s="214"/>
      <c r="J43" s="214"/>
      <c r="K43" s="215"/>
      <c r="L43" s="147"/>
      <c r="M43" s="199"/>
      <c r="N43" s="199"/>
      <c r="O43" s="199"/>
      <c r="P43" s="199"/>
      <c r="Q43" s="199"/>
      <c r="R43" s="199"/>
      <c r="S43" s="199"/>
      <c r="T43" s="199"/>
      <c r="U43" s="199"/>
      <c r="V43" s="199"/>
      <c r="W43" s="199"/>
      <c r="X43" s="199"/>
      <c r="Y43" s="199"/>
    </row>
    <row r="44" spans="2:25" ht="9.75" customHeight="1">
      <c r="B44" s="217"/>
      <c r="C44" s="217"/>
      <c r="D44" s="217"/>
      <c r="E44" s="147"/>
      <c r="F44" s="147"/>
      <c r="G44" s="147"/>
      <c r="H44" s="147"/>
      <c r="I44" s="210"/>
      <c r="J44" s="210"/>
      <c r="K44" s="211"/>
      <c r="L44" s="147"/>
      <c r="M44" s="195"/>
      <c r="N44" s="195"/>
      <c r="O44" s="195"/>
      <c r="P44" s="195"/>
      <c r="Q44" s="195"/>
      <c r="R44" s="195"/>
      <c r="S44" s="195"/>
      <c r="T44" s="195"/>
      <c r="U44" s="195"/>
      <c r="V44" s="195"/>
      <c r="W44" s="195"/>
      <c r="X44" s="195"/>
      <c r="Y44" s="195"/>
    </row>
    <row r="45" spans="2:25" ht="9.75" customHeight="1">
      <c r="B45" s="174"/>
      <c r="C45" s="174"/>
      <c r="D45" s="174"/>
      <c r="E45" s="174"/>
      <c r="F45" s="147"/>
      <c r="G45" s="147"/>
      <c r="H45" s="147"/>
      <c r="I45" s="210"/>
      <c r="J45" s="210"/>
      <c r="K45" s="211"/>
      <c r="L45" s="147"/>
      <c r="M45" s="195"/>
      <c r="N45" s="195"/>
      <c r="O45" s="195"/>
      <c r="P45" s="195"/>
      <c r="Q45" s="195"/>
      <c r="R45" s="195"/>
      <c r="S45" s="195"/>
      <c r="T45" s="195"/>
      <c r="U45" s="195"/>
      <c r="V45" s="195"/>
      <c r="W45" s="195"/>
      <c r="X45" s="195"/>
      <c r="Y45" s="195"/>
    </row>
    <row r="46" spans="2:25" ht="9.75" customHeight="1">
      <c r="B46" s="174"/>
      <c r="C46" s="174"/>
      <c r="D46" s="174"/>
      <c r="E46" s="174"/>
      <c r="F46" s="147"/>
      <c r="G46" s="147"/>
      <c r="H46" s="147"/>
      <c r="I46" s="210"/>
      <c r="J46" s="210"/>
      <c r="K46" s="211"/>
      <c r="L46" s="147"/>
      <c r="M46" s="195"/>
      <c r="N46" s="195"/>
      <c r="O46" s="195"/>
      <c r="P46" s="195"/>
      <c r="Q46" s="195"/>
      <c r="R46" s="195"/>
      <c r="S46" s="195"/>
      <c r="T46" s="195"/>
      <c r="U46" s="195"/>
      <c r="V46" s="195"/>
      <c r="W46" s="195"/>
      <c r="X46" s="195"/>
      <c r="Y46" s="195"/>
    </row>
    <row r="47" spans="2:25" ht="9.75" customHeight="1">
      <c r="B47" s="147"/>
      <c r="C47" s="147"/>
      <c r="D47" s="147"/>
      <c r="E47" s="147"/>
      <c r="F47" s="147"/>
      <c r="G47" s="147"/>
      <c r="H47" s="147"/>
      <c r="I47" s="210"/>
      <c r="J47" s="210"/>
      <c r="K47" s="211"/>
      <c r="L47" s="147"/>
      <c r="M47" s="195"/>
      <c r="N47" s="195"/>
      <c r="O47" s="195"/>
      <c r="P47" s="195"/>
      <c r="Q47" s="195"/>
      <c r="R47" s="195"/>
      <c r="S47" s="195"/>
      <c r="T47" s="195"/>
      <c r="U47" s="195"/>
      <c r="V47" s="195"/>
      <c r="W47" s="195"/>
      <c r="X47" s="195"/>
      <c r="Y47" s="195"/>
    </row>
    <row r="48" spans="2:25" ht="9.75" customHeight="1">
      <c r="B48" s="219"/>
      <c r="C48" s="219"/>
      <c r="D48" s="219"/>
      <c r="E48" s="217"/>
      <c r="F48" s="147"/>
      <c r="G48" s="147"/>
      <c r="H48" s="147"/>
      <c r="I48" s="214"/>
      <c r="J48" s="214"/>
      <c r="K48" s="214"/>
      <c r="L48" s="147"/>
      <c r="M48" s="199"/>
      <c r="N48" s="220"/>
      <c r="O48" s="220"/>
      <c r="P48" s="220"/>
      <c r="Q48" s="216"/>
      <c r="R48" s="199"/>
      <c r="S48" s="199"/>
      <c r="T48" s="199"/>
      <c r="U48" s="199"/>
      <c r="V48" s="199"/>
      <c r="W48" s="221"/>
      <c r="X48" s="221"/>
      <c r="Y48" s="221"/>
    </row>
    <row r="49" spans="2:25" ht="9.75" customHeight="1">
      <c r="B49" s="222"/>
      <c r="C49" s="222"/>
      <c r="D49" s="222"/>
      <c r="E49" s="147"/>
      <c r="F49" s="147"/>
      <c r="G49" s="147"/>
      <c r="H49" s="147"/>
      <c r="I49" s="210"/>
      <c r="J49" s="210"/>
      <c r="K49" s="212"/>
      <c r="L49" s="147"/>
      <c r="M49" s="174"/>
      <c r="N49" s="174"/>
      <c r="O49" s="174"/>
      <c r="P49" s="174"/>
      <c r="Q49" s="174"/>
      <c r="R49" s="174"/>
      <c r="S49" s="174"/>
      <c r="T49" s="174"/>
      <c r="U49" s="174"/>
      <c r="V49" s="174"/>
      <c r="W49" s="174"/>
      <c r="X49" s="174"/>
      <c r="Y49" s="174"/>
    </row>
    <row r="50" spans="2:25" ht="9.75" customHeight="1">
      <c r="B50" s="217"/>
      <c r="C50" s="217"/>
      <c r="D50" s="217"/>
      <c r="E50" s="217"/>
      <c r="F50" s="217"/>
      <c r="G50" s="217"/>
      <c r="H50" s="217"/>
      <c r="I50" s="223"/>
      <c r="J50" s="223"/>
      <c r="K50" s="33"/>
      <c r="L50" s="13"/>
      <c r="M50" s="22"/>
      <c r="N50" s="199"/>
      <c r="O50" s="199"/>
      <c r="P50" s="199"/>
      <c r="Q50" s="199"/>
      <c r="R50" s="199"/>
      <c r="S50" s="216"/>
      <c r="T50" s="22"/>
      <c r="U50" s="22"/>
      <c r="V50" s="23"/>
      <c r="W50" s="224"/>
      <c r="X50" s="224"/>
      <c r="Y50" s="224"/>
    </row>
    <row r="51" spans="2:25" ht="9.75" customHeight="1">
      <c r="B51" s="174"/>
      <c r="C51" s="174"/>
      <c r="D51" s="174"/>
      <c r="E51" s="174"/>
      <c r="F51" s="174"/>
      <c r="G51" s="174"/>
      <c r="H51" s="174"/>
      <c r="I51" s="210"/>
      <c r="J51" s="210"/>
      <c r="K51" s="211"/>
      <c r="L51" s="147"/>
      <c r="M51" s="195"/>
      <c r="N51" s="195"/>
      <c r="O51" s="195"/>
      <c r="P51" s="195"/>
      <c r="Q51" s="195"/>
      <c r="R51" s="195"/>
      <c r="S51" s="195"/>
      <c r="T51" s="195"/>
      <c r="U51" s="195"/>
      <c r="V51" s="195"/>
      <c r="W51" s="195"/>
      <c r="X51" s="195"/>
      <c r="Y51" s="195"/>
    </row>
    <row r="52" spans="2:25" ht="9.75" customHeight="1">
      <c r="B52" s="174"/>
      <c r="C52" s="174"/>
      <c r="D52" s="174"/>
      <c r="E52" s="174"/>
      <c r="F52" s="174"/>
      <c r="G52" s="174"/>
      <c r="H52" s="174"/>
      <c r="I52" s="210"/>
      <c r="J52" s="210"/>
      <c r="K52" s="211"/>
      <c r="L52" s="147"/>
      <c r="M52" s="195"/>
      <c r="N52" s="195"/>
      <c r="O52" s="195"/>
      <c r="P52" s="195"/>
      <c r="Q52" s="195"/>
      <c r="R52" s="195"/>
      <c r="S52" s="195"/>
      <c r="T52" s="195"/>
      <c r="U52" s="195"/>
      <c r="V52" s="195"/>
      <c r="W52" s="195"/>
      <c r="X52" s="195"/>
      <c r="Y52" s="195"/>
    </row>
    <row r="53" spans="2:25" ht="9.75" customHeight="1">
      <c r="B53" s="174"/>
      <c r="C53" s="174"/>
      <c r="D53" s="174"/>
      <c r="E53" s="174"/>
      <c r="F53" s="174"/>
      <c r="G53" s="174"/>
      <c r="H53" s="174"/>
      <c r="I53" s="210"/>
      <c r="J53" s="210"/>
      <c r="K53" s="211"/>
      <c r="L53" s="147"/>
      <c r="M53" s="195"/>
      <c r="N53" s="195"/>
      <c r="O53" s="195"/>
      <c r="P53" s="195"/>
      <c r="Q53" s="195"/>
      <c r="R53" s="195"/>
      <c r="S53" s="195"/>
      <c r="T53" s="195"/>
      <c r="U53" s="195"/>
      <c r="V53" s="195"/>
      <c r="W53" s="195"/>
      <c r="X53" s="195"/>
      <c r="Y53" s="195"/>
    </row>
    <row r="54" spans="2:25" ht="9.75" customHeight="1">
      <c r="B54" s="174"/>
      <c r="C54" s="174"/>
      <c r="D54" s="174"/>
      <c r="E54" s="174"/>
      <c r="F54" s="174"/>
      <c r="G54" s="174"/>
      <c r="H54" s="174"/>
      <c r="I54" s="210"/>
      <c r="J54" s="210"/>
      <c r="K54" s="211"/>
      <c r="L54" s="147"/>
      <c r="M54" s="195"/>
      <c r="N54" s="195"/>
      <c r="O54" s="195"/>
      <c r="P54" s="195"/>
      <c r="Q54" s="195"/>
      <c r="R54" s="195"/>
      <c r="S54" s="195"/>
      <c r="T54" s="195"/>
      <c r="U54" s="195"/>
      <c r="V54" s="195"/>
      <c r="W54" s="195"/>
      <c r="X54" s="195"/>
      <c r="Y54" s="195"/>
    </row>
    <row r="55" spans="2:25" ht="9.75" customHeight="1">
      <c r="B55" s="188"/>
      <c r="C55" s="188"/>
      <c r="D55" s="188"/>
      <c r="E55" s="188"/>
      <c r="F55" s="188"/>
      <c r="G55" s="188"/>
      <c r="H55" s="188"/>
      <c r="I55" s="212"/>
      <c r="J55" s="212"/>
      <c r="K55" s="213"/>
      <c r="L55" s="147"/>
      <c r="M55" s="199"/>
      <c r="N55" s="199"/>
      <c r="O55" s="199"/>
      <c r="P55" s="199"/>
      <c r="Q55" s="199"/>
      <c r="R55" s="199"/>
      <c r="S55" s="199"/>
      <c r="T55" s="199"/>
      <c r="U55" s="199"/>
      <c r="V55" s="199"/>
      <c r="W55" s="199"/>
      <c r="X55" s="199"/>
      <c r="Y55" s="199"/>
    </row>
    <row r="56" spans="2:25" ht="9.75" customHeight="1">
      <c r="B56" s="147"/>
      <c r="C56" s="147"/>
      <c r="D56" s="147"/>
      <c r="E56" s="147"/>
      <c r="F56" s="147"/>
      <c r="G56" s="147"/>
      <c r="H56" s="147"/>
      <c r="I56" s="214"/>
      <c r="J56" s="214"/>
      <c r="K56" s="215"/>
      <c r="L56" s="147"/>
      <c r="M56" s="199"/>
      <c r="N56" s="199"/>
      <c r="O56" s="199"/>
      <c r="P56" s="199"/>
      <c r="Q56" s="199"/>
      <c r="R56" s="199"/>
      <c r="S56" s="216"/>
      <c r="T56" s="22"/>
      <c r="U56" s="22"/>
      <c r="V56" s="23"/>
      <c r="W56" s="199"/>
      <c r="X56" s="199"/>
      <c r="Y56" s="199"/>
    </row>
    <row r="57" spans="2:25" ht="9.75" customHeight="1">
      <c r="B57" s="174"/>
      <c r="C57" s="174"/>
      <c r="D57" s="174"/>
      <c r="E57" s="174"/>
      <c r="F57" s="174"/>
      <c r="G57" s="174"/>
      <c r="H57" s="174"/>
      <c r="I57" s="210"/>
      <c r="J57" s="210"/>
      <c r="K57" s="211"/>
      <c r="L57" s="147"/>
      <c r="M57" s="195"/>
      <c r="N57" s="195"/>
      <c r="O57" s="195"/>
      <c r="P57" s="195"/>
      <c r="Q57" s="195"/>
      <c r="R57" s="195"/>
      <c r="S57" s="195"/>
      <c r="T57" s="195"/>
      <c r="U57" s="195"/>
      <c r="V57" s="195"/>
      <c r="W57" s="195"/>
      <c r="X57" s="195"/>
      <c r="Y57" s="195"/>
    </row>
    <row r="58" spans="2:25" ht="9.75" customHeight="1">
      <c r="B58" s="174"/>
      <c r="C58" s="174"/>
      <c r="D58" s="174"/>
      <c r="E58" s="174"/>
      <c r="F58" s="174"/>
      <c r="G58" s="174"/>
      <c r="H58" s="174"/>
      <c r="I58" s="210"/>
      <c r="J58" s="210"/>
      <c r="K58" s="211"/>
      <c r="L58" s="147"/>
      <c r="M58" s="195"/>
      <c r="N58" s="195"/>
      <c r="O58" s="195"/>
      <c r="P58" s="195"/>
      <c r="Q58" s="195"/>
      <c r="R58" s="195"/>
      <c r="S58" s="195"/>
      <c r="T58" s="195"/>
      <c r="U58" s="195"/>
      <c r="V58" s="195"/>
      <c r="W58" s="195"/>
      <c r="X58" s="195"/>
      <c r="Y58" s="195"/>
    </row>
    <row r="59" spans="2:25" ht="9.75" customHeight="1">
      <c r="B59" s="174"/>
      <c r="C59" s="174"/>
      <c r="D59" s="174"/>
      <c r="E59" s="174"/>
      <c r="F59" s="174"/>
      <c r="G59" s="174"/>
      <c r="H59" s="174"/>
      <c r="I59" s="210"/>
      <c r="J59" s="210"/>
      <c r="K59" s="211"/>
      <c r="L59" s="147"/>
      <c r="M59" s="195"/>
      <c r="N59" s="195"/>
      <c r="O59" s="195"/>
      <c r="P59" s="195"/>
      <c r="Q59" s="195"/>
      <c r="R59" s="195"/>
      <c r="S59" s="195"/>
      <c r="T59" s="195"/>
      <c r="U59" s="195"/>
      <c r="V59" s="195"/>
      <c r="W59" s="195"/>
      <c r="X59" s="195"/>
      <c r="Y59" s="195"/>
    </row>
    <row r="60" spans="2:25" ht="9.75" customHeight="1">
      <c r="B60" s="174"/>
      <c r="C60" s="174"/>
      <c r="D60" s="174"/>
      <c r="E60" s="174"/>
      <c r="F60" s="174"/>
      <c r="G60" s="174"/>
      <c r="H60" s="174"/>
      <c r="I60" s="210"/>
      <c r="J60" s="210"/>
      <c r="K60" s="211"/>
      <c r="L60" s="147"/>
      <c r="M60" s="195"/>
      <c r="N60" s="195"/>
      <c r="O60" s="195"/>
      <c r="P60" s="195"/>
      <c r="Q60" s="195"/>
      <c r="R60" s="195"/>
      <c r="S60" s="195"/>
      <c r="T60" s="195"/>
      <c r="U60" s="195"/>
      <c r="V60" s="195"/>
      <c r="W60" s="195"/>
      <c r="X60" s="195"/>
      <c r="Y60" s="195"/>
    </row>
    <row r="61" spans="2:25" ht="9.75" customHeight="1">
      <c r="B61" s="188"/>
      <c r="C61" s="188"/>
      <c r="D61" s="188"/>
      <c r="E61" s="188"/>
      <c r="F61" s="188"/>
      <c r="G61" s="188"/>
      <c r="H61" s="188"/>
      <c r="I61" s="212"/>
      <c r="J61" s="212"/>
      <c r="K61" s="213"/>
      <c r="L61" s="147"/>
      <c r="M61" s="199"/>
      <c r="N61" s="199"/>
      <c r="O61" s="199"/>
      <c r="P61" s="199"/>
      <c r="Q61" s="199"/>
      <c r="R61" s="199"/>
      <c r="S61" s="199"/>
      <c r="T61" s="199"/>
      <c r="U61" s="199"/>
      <c r="V61" s="199"/>
      <c r="W61" s="199"/>
      <c r="X61" s="199"/>
      <c r="Y61" s="199"/>
    </row>
    <row r="62" spans="2:25" ht="9.75" customHeight="1">
      <c r="B62" s="218"/>
      <c r="C62" s="218"/>
      <c r="D62" s="218"/>
      <c r="E62" s="218"/>
      <c r="F62" s="147"/>
      <c r="G62" s="147"/>
      <c r="H62" s="147"/>
      <c r="I62" s="214"/>
      <c r="J62" s="214"/>
      <c r="K62" s="215"/>
      <c r="L62" s="147"/>
      <c r="M62" s="199"/>
      <c r="N62" s="199"/>
      <c r="O62" s="199"/>
      <c r="P62" s="199"/>
      <c r="Q62" s="199"/>
      <c r="R62" s="199"/>
      <c r="S62" s="199"/>
      <c r="T62" s="199"/>
      <c r="U62" s="199"/>
      <c r="V62" s="199"/>
      <c r="W62" s="199"/>
      <c r="X62" s="199"/>
      <c r="Y62" s="199"/>
    </row>
    <row r="63" spans="2:25" ht="9.75" customHeight="1">
      <c r="B63" s="174"/>
      <c r="C63" s="174"/>
      <c r="D63" s="174"/>
      <c r="E63" s="174"/>
      <c r="F63" s="174"/>
      <c r="G63" s="174"/>
      <c r="H63" s="174"/>
      <c r="I63" s="210"/>
      <c r="J63" s="210"/>
      <c r="K63" s="211"/>
      <c r="L63" s="147"/>
      <c r="M63" s="195"/>
      <c r="N63" s="195"/>
      <c r="O63" s="195"/>
      <c r="P63" s="195"/>
      <c r="Q63" s="195"/>
      <c r="R63" s="195"/>
      <c r="S63" s="195"/>
      <c r="T63" s="195"/>
      <c r="U63" s="195"/>
      <c r="V63" s="195"/>
      <c r="W63" s="195"/>
      <c r="X63" s="195"/>
      <c r="Y63" s="195"/>
    </row>
    <row r="64" spans="2:25" ht="9.75" customHeight="1">
      <c r="B64" s="174"/>
      <c r="C64" s="174"/>
      <c r="D64" s="174"/>
      <c r="E64" s="174"/>
      <c r="F64" s="174"/>
      <c r="G64" s="174"/>
      <c r="H64" s="174"/>
      <c r="I64" s="210"/>
      <c r="J64" s="210"/>
      <c r="K64" s="211"/>
      <c r="L64" s="147"/>
      <c r="M64" s="195"/>
      <c r="N64" s="195"/>
      <c r="O64" s="195"/>
      <c r="P64" s="195"/>
      <c r="Q64" s="195"/>
      <c r="R64" s="195"/>
      <c r="S64" s="195"/>
      <c r="T64" s="195"/>
      <c r="U64" s="195"/>
      <c r="V64" s="195"/>
      <c r="W64" s="195"/>
      <c r="X64" s="195"/>
      <c r="Y64" s="195"/>
    </row>
    <row r="65" spans="2:35" ht="9.75" customHeight="1">
      <c r="B65" s="174"/>
      <c r="C65" s="174"/>
      <c r="D65" s="174"/>
      <c r="E65" s="174"/>
      <c r="F65" s="174"/>
      <c r="G65" s="174"/>
      <c r="H65" s="174"/>
      <c r="I65" s="210"/>
      <c r="J65" s="210"/>
      <c r="K65" s="211"/>
      <c r="L65" s="147"/>
      <c r="M65" s="195"/>
      <c r="N65" s="195"/>
      <c r="O65" s="195"/>
      <c r="P65" s="195"/>
      <c r="Q65" s="195"/>
      <c r="R65" s="195"/>
      <c r="S65" s="195"/>
      <c r="T65" s="195"/>
      <c r="U65" s="195"/>
      <c r="V65" s="195"/>
      <c r="W65" s="195"/>
      <c r="X65" s="195"/>
      <c r="Y65" s="195"/>
    </row>
    <row r="66" spans="2:35" ht="9.75" customHeight="1">
      <c r="B66" s="174"/>
      <c r="C66" s="174"/>
      <c r="D66" s="174"/>
      <c r="E66" s="174"/>
      <c r="F66" s="174"/>
      <c r="G66" s="174"/>
      <c r="H66" s="174"/>
      <c r="I66" s="210"/>
      <c r="J66" s="210"/>
      <c r="K66" s="211"/>
      <c r="L66" s="147"/>
      <c r="M66" s="195"/>
      <c r="N66" s="195"/>
      <c r="O66" s="195"/>
      <c r="P66" s="195"/>
      <c r="Q66" s="195"/>
      <c r="R66" s="195"/>
      <c r="S66" s="195"/>
      <c r="T66" s="195"/>
      <c r="U66" s="195"/>
      <c r="V66" s="195"/>
      <c r="W66" s="195"/>
      <c r="X66" s="195"/>
      <c r="Y66" s="195"/>
    </row>
    <row r="67" spans="2:35" ht="9.75" customHeight="1">
      <c r="B67" s="147"/>
      <c r="C67" s="147"/>
      <c r="D67" s="147"/>
      <c r="E67" s="147"/>
      <c r="F67" s="147"/>
      <c r="G67" s="147"/>
      <c r="H67" s="147"/>
      <c r="I67" s="147"/>
      <c r="J67" s="147"/>
      <c r="K67" s="147"/>
      <c r="L67" s="147"/>
      <c r="M67" s="147"/>
      <c r="N67" s="147"/>
      <c r="O67" s="147"/>
      <c r="P67" s="147"/>
      <c r="Q67" s="149"/>
      <c r="R67" s="225"/>
      <c r="S67" s="225"/>
      <c r="T67" s="225"/>
      <c r="U67" s="225"/>
      <c r="V67" s="225"/>
      <c r="W67" s="226"/>
      <c r="X67" s="227"/>
      <c r="Y67" s="227"/>
    </row>
    <row r="68" spans="2:35" ht="9.75" customHeight="1">
      <c r="B68" s="147"/>
      <c r="C68" s="147"/>
      <c r="D68" s="147"/>
      <c r="E68" s="147"/>
      <c r="F68" s="147"/>
      <c r="G68" s="147"/>
      <c r="H68" s="147"/>
      <c r="I68" s="147"/>
      <c r="J68" s="147"/>
      <c r="K68" s="147"/>
      <c r="L68" s="147"/>
      <c r="M68" s="147"/>
      <c r="N68" s="147"/>
      <c r="O68" s="147"/>
      <c r="P68" s="147"/>
      <c r="Q68" s="147"/>
      <c r="R68" s="147"/>
      <c r="S68" s="147"/>
      <c r="T68" s="149"/>
      <c r="U68" s="147"/>
      <c r="V68" s="147"/>
      <c r="W68" s="147"/>
      <c r="X68" s="147"/>
      <c r="Y68" s="147"/>
      <c r="Z68" s="150"/>
      <c r="AA68" s="150"/>
    </row>
    <row r="69" spans="2:35" ht="11.25" customHeight="1">
      <c r="B69" s="147"/>
      <c r="C69" s="147"/>
      <c r="D69" s="147"/>
      <c r="E69" s="147"/>
      <c r="F69" s="147"/>
      <c r="G69" s="147"/>
      <c r="H69" s="147"/>
      <c r="I69" s="147"/>
      <c r="J69" s="147"/>
      <c r="K69" s="147"/>
      <c r="L69" s="147"/>
      <c r="M69" s="147"/>
      <c r="N69" s="147"/>
      <c r="O69" s="147"/>
      <c r="P69" s="147"/>
      <c r="Q69" s="147"/>
      <c r="R69" s="147"/>
      <c r="S69" s="147"/>
      <c r="T69" s="147"/>
      <c r="U69" s="147"/>
      <c r="V69" s="147"/>
      <c r="W69" s="147"/>
      <c r="X69" s="147"/>
      <c r="Y69" s="147"/>
      <c r="Z69" s="86"/>
      <c r="AA69" s="86"/>
    </row>
    <row r="70" spans="2:35" ht="11.25" customHeight="1">
      <c r="B70" s="147"/>
      <c r="C70" s="147"/>
      <c r="D70" s="147"/>
      <c r="E70" s="147"/>
      <c r="F70" s="147"/>
      <c r="G70" s="147"/>
      <c r="H70" s="147"/>
      <c r="I70" s="147"/>
      <c r="J70" s="147"/>
      <c r="K70" s="147"/>
      <c r="L70" s="147"/>
      <c r="M70" s="147"/>
      <c r="N70" s="147"/>
      <c r="O70" s="147"/>
      <c r="P70" s="147"/>
      <c r="Q70" s="147"/>
      <c r="R70" s="147"/>
      <c r="S70" s="147"/>
      <c r="T70" s="147"/>
      <c r="U70" s="147"/>
      <c r="V70" s="147"/>
      <c r="W70" s="147"/>
      <c r="X70" s="147"/>
      <c r="Y70" s="147"/>
      <c r="Z70" s="147"/>
      <c r="AA70" s="147"/>
      <c r="AB70" s="147"/>
      <c r="AC70" s="147"/>
      <c r="AD70" s="147"/>
      <c r="AE70" s="147"/>
      <c r="AF70" s="147"/>
      <c r="AG70" s="147"/>
      <c r="AH70" s="147"/>
      <c r="AI70" s="147"/>
    </row>
    <row r="71" spans="2:35" ht="11.25" customHeight="1">
      <c r="B71" s="147"/>
      <c r="C71" s="147"/>
      <c r="D71" s="147"/>
      <c r="E71" s="147"/>
      <c r="F71" s="147"/>
      <c r="G71" s="147"/>
      <c r="H71" s="147"/>
      <c r="I71" s="147"/>
      <c r="J71" s="147"/>
      <c r="K71" s="147"/>
      <c r="L71" s="147"/>
      <c r="M71" s="147"/>
      <c r="N71" s="147"/>
      <c r="O71" s="147"/>
      <c r="P71" s="147"/>
      <c r="Q71" s="147"/>
      <c r="R71" s="147"/>
      <c r="S71" s="147"/>
      <c r="T71" s="147"/>
      <c r="U71" s="147"/>
      <c r="V71" s="147"/>
      <c r="W71" s="147"/>
      <c r="X71" s="147"/>
      <c r="Y71" s="147"/>
      <c r="Z71" s="147"/>
      <c r="AA71" s="147"/>
      <c r="AB71" s="147"/>
      <c r="AC71" s="147"/>
      <c r="AD71" s="147"/>
      <c r="AE71" s="147"/>
      <c r="AF71" s="147"/>
      <c r="AG71" s="147"/>
      <c r="AH71" s="147"/>
      <c r="AI71" s="147"/>
    </row>
    <row r="72" spans="2:35" ht="11.25" customHeight="1">
      <c r="B72" s="147"/>
      <c r="C72" s="147"/>
      <c r="D72" s="147"/>
      <c r="E72" s="147"/>
      <c r="F72" s="147"/>
      <c r="G72" s="147"/>
      <c r="H72" s="147"/>
      <c r="I72" s="147"/>
      <c r="J72" s="147"/>
      <c r="K72" s="147"/>
      <c r="L72" s="147"/>
      <c r="M72" s="147"/>
      <c r="N72" s="147"/>
      <c r="O72" s="147"/>
      <c r="P72" s="147"/>
      <c r="Q72" s="147"/>
      <c r="R72" s="147"/>
      <c r="S72" s="147"/>
      <c r="T72" s="147"/>
      <c r="U72" s="147"/>
      <c r="V72" s="147"/>
      <c r="W72" s="147"/>
      <c r="X72" s="147"/>
      <c r="Y72" s="147"/>
      <c r="Z72" s="147"/>
      <c r="AA72" s="147"/>
      <c r="AB72" s="147"/>
      <c r="AC72" s="147"/>
      <c r="AD72" s="147"/>
      <c r="AE72" s="147"/>
      <c r="AF72" s="147"/>
      <c r="AG72" s="147"/>
      <c r="AH72" s="147"/>
      <c r="AI72" s="147"/>
    </row>
    <row r="73" spans="2:35" ht="11.25" customHeight="1">
      <c r="B73" s="147"/>
      <c r="C73" s="147"/>
      <c r="D73" s="147"/>
      <c r="E73" s="147"/>
      <c r="F73" s="147"/>
      <c r="G73" s="147"/>
      <c r="H73" s="147"/>
      <c r="I73" s="147"/>
      <c r="J73" s="147"/>
      <c r="K73" s="147"/>
      <c r="L73" s="147"/>
      <c r="M73" s="147"/>
      <c r="N73" s="147"/>
      <c r="O73" s="147"/>
      <c r="P73" s="147"/>
      <c r="Q73" s="147"/>
      <c r="R73" s="147"/>
      <c r="S73" s="147"/>
      <c r="T73" s="147"/>
      <c r="U73" s="147"/>
      <c r="V73" s="147"/>
      <c r="W73" s="147"/>
      <c r="X73" s="147"/>
      <c r="Y73" s="147"/>
      <c r="Z73" s="147"/>
      <c r="AA73" s="147"/>
      <c r="AB73" s="147"/>
      <c r="AC73" s="147"/>
      <c r="AD73" s="147"/>
      <c r="AE73" s="147"/>
      <c r="AF73" s="147"/>
      <c r="AG73" s="147"/>
      <c r="AH73" s="147"/>
      <c r="AI73" s="147"/>
    </row>
    <row r="74" spans="2:35" ht="11.25" customHeight="1">
      <c r="B74" s="147"/>
      <c r="C74" s="147"/>
      <c r="D74" s="147"/>
      <c r="E74" s="147"/>
      <c r="F74" s="147"/>
      <c r="G74" s="147"/>
      <c r="H74" s="147"/>
      <c r="I74" s="147"/>
      <c r="J74" s="147"/>
      <c r="K74" s="147"/>
      <c r="L74" s="147"/>
      <c r="M74" s="147"/>
      <c r="N74" s="147"/>
      <c r="O74" s="147"/>
      <c r="P74" s="147"/>
      <c r="Q74" s="147"/>
      <c r="R74" s="147"/>
      <c r="S74" s="147"/>
      <c r="T74" s="147"/>
      <c r="U74" s="147"/>
      <c r="V74" s="147"/>
      <c r="W74" s="147"/>
      <c r="X74" s="147"/>
      <c r="Y74" s="147"/>
      <c r="Z74" s="147"/>
      <c r="AA74" s="147"/>
      <c r="AB74" s="147"/>
      <c r="AC74" s="147"/>
      <c r="AD74" s="147"/>
      <c r="AE74" s="147"/>
      <c r="AF74" s="147"/>
      <c r="AG74" s="147"/>
      <c r="AH74" s="147"/>
      <c r="AI74" s="147"/>
    </row>
    <row r="75" spans="2:35" ht="11.25" customHeight="1">
      <c r="B75" s="147"/>
      <c r="C75" s="147"/>
      <c r="D75" s="147"/>
      <c r="E75" s="147"/>
      <c r="F75" s="147"/>
      <c r="G75" s="147"/>
      <c r="H75" s="147"/>
      <c r="I75" s="147"/>
      <c r="J75" s="147"/>
      <c r="K75" s="147"/>
      <c r="L75" s="147"/>
      <c r="M75" s="147"/>
      <c r="N75" s="147"/>
      <c r="O75" s="147"/>
      <c r="P75" s="147"/>
      <c r="Q75" s="147"/>
      <c r="R75" s="147"/>
      <c r="S75" s="147"/>
      <c r="T75" s="147"/>
      <c r="U75" s="147"/>
      <c r="V75" s="147"/>
      <c r="W75" s="147"/>
      <c r="X75" s="147"/>
      <c r="Y75" s="147"/>
      <c r="Z75" s="147"/>
      <c r="AA75" s="147"/>
      <c r="AB75" s="147"/>
      <c r="AC75" s="147"/>
      <c r="AD75" s="147"/>
      <c r="AE75" s="147"/>
      <c r="AF75" s="147"/>
      <c r="AG75" s="147"/>
      <c r="AH75" s="147"/>
      <c r="AI75" s="147"/>
    </row>
    <row r="76" spans="2:35" ht="11.25" customHeight="1">
      <c r="B76" s="147"/>
      <c r="C76" s="147"/>
      <c r="D76" s="147"/>
      <c r="E76" s="147"/>
      <c r="F76" s="147"/>
      <c r="G76" s="147"/>
      <c r="H76" s="147"/>
      <c r="I76" s="147"/>
      <c r="J76" s="147"/>
      <c r="K76" s="147"/>
      <c r="L76" s="147"/>
      <c r="M76" s="147"/>
      <c r="N76" s="147"/>
      <c r="O76" s="147"/>
      <c r="P76" s="147"/>
      <c r="Q76" s="147"/>
      <c r="R76" s="147"/>
      <c r="S76" s="147"/>
      <c r="T76" s="147"/>
      <c r="U76" s="147"/>
      <c r="V76" s="147"/>
      <c r="W76" s="147"/>
      <c r="X76" s="147"/>
      <c r="Y76" s="147"/>
      <c r="Z76" s="147"/>
      <c r="AA76" s="147"/>
      <c r="AB76" s="147"/>
      <c r="AC76" s="147"/>
      <c r="AD76" s="147"/>
      <c r="AE76" s="147"/>
      <c r="AF76" s="147"/>
      <c r="AG76" s="147"/>
      <c r="AH76" s="147"/>
      <c r="AI76" s="147"/>
    </row>
    <row r="77" spans="2:35" ht="11.25" customHeight="1">
      <c r="B77" s="147"/>
      <c r="C77" s="147"/>
      <c r="D77" s="147"/>
      <c r="E77" s="147"/>
      <c r="F77" s="147"/>
      <c r="G77" s="147"/>
      <c r="H77" s="147"/>
      <c r="I77" s="147"/>
      <c r="J77" s="147"/>
      <c r="K77" s="147"/>
      <c r="L77" s="147"/>
      <c r="M77" s="147"/>
      <c r="N77" s="147"/>
      <c r="O77" s="147"/>
      <c r="P77" s="147"/>
      <c r="Q77" s="147"/>
      <c r="R77" s="147"/>
      <c r="S77" s="147"/>
      <c r="T77" s="147"/>
      <c r="U77" s="147"/>
      <c r="V77" s="147"/>
      <c r="W77" s="147"/>
      <c r="X77" s="147"/>
      <c r="Y77" s="147"/>
      <c r="Z77" s="147"/>
      <c r="AA77" s="147"/>
      <c r="AB77" s="147"/>
      <c r="AC77" s="147"/>
      <c r="AD77" s="147"/>
      <c r="AE77" s="147"/>
      <c r="AF77" s="147"/>
      <c r="AG77" s="147"/>
      <c r="AH77" s="147"/>
      <c r="AI77" s="147"/>
    </row>
    <row r="78" spans="2:35" ht="11.25" customHeight="1">
      <c r="B78" s="147"/>
      <c r="C78" s="147"/>
      <c r="D78" s="147"/>
      <c r="E78" s="147"/>
      <c r="F78" s="147"/>
      <c r="G78" s="147"/>
      <c r="H78" s="147"/>
      <c r="I78" s="147"/>
      <c r="J78" s="147"/>
      <c r="K78" s="147"/>
      <c r="L78" s="147"/>
      <c r="M78" s="147"/>
      <c r="N78" s="147"/>
      <c r="O78" s="147"/>
      <c r="P78" s="147"/>
      <c r="Q78" s="147"/>
      <c r="R78" s="147"/>
      <c r="S78" s="147"/>
      <c r="T78" s="147"/>
      <c r="U78" s="147"/>
      <c r="V78" s="147"/>
      <c r="W78" s="147"/>
      <c r="X78" s="147"/>
      <c r="Y78" s="147"/>
      <c r="Z78" s="147"/>
      <c r="AA78" s="147"/>
      <c r="AB78" s="147"/>
      <c r="AC78" s="147"/>
      <c r="AD78" s="147"/>
      <c r="AE78" s="147"/>
      <c r="AF78" s="147"/>
      <c r="AG78" s="147"/>
      <c r="AH78" s="147"/>
      <c r="AI78" s="147"/>
    </row>
    <row r="79" spans="2:35" ht="9.75" customHeight="1">
      <c r="B79" s="147"/>
      <c r="C79" s="147"/>
      <c r="D79" s="147"/>
      <c r="E79" s="147"/>
      <c r="F79" s="147"/>
      <c r="G79" s="147"/>
      <c r="H79" s="147"/>
      <c r="I79" s="147"/>
      <c r="J79" s="147"/>
      <c r="K79" s="147"/>
      <c r="L79" s="147"/>
      <c r="M79" s="147"/>
      <c r="N79" s="147"/>
      <c r="O79" s="147"/>
      <c r="P79" s="147"/>
      <c r="Q79" s="147"/>
      <c r="R79" s="147"/>
      <c r="S79" s="147"/>
      <c r="T79" s="147"/>
      <c r="U79" s="147"/>
      <c r="V79" s="147"/>
      <c r="W79" s="147"/>
      <c r="X79" s="147"/>
      <c r="Y79" s="147"/>
      <c r="Z79" s="147"/>
      <c r="AA79" s="147"/>
      <c r="AB79" s="147"/>
      <c r="AC79" s="147"/>
      <c r="AD79" s="147"/>
      <c r="AE79" s="147"/>
      <c r="AF79" s="147"/>
      <c r="AG79" s="147"/>
      <c r="AH79" s="147"/>
      <c r="AI79" s="147"/>
    </row>
    <row r="80" spans="2:35">
      <c r="B80" s="147"/>
      <c r="C80" s="147"/>
      <c r="D80" s="147"/>
      <c r="E80" s="147"/>
      <c r="F80" s="147"/>
      <c r="G80" s="147"/>
      <c r="H80" s="147"/>
      <c r="I80" s="147"/>
      <c r="J80" s="147"/>
      <c r="K80" s="147"/>
      <c r="L80" s="147"/>
      <c r="M80" s="147"/>
      <c r="N80" s="147"/>
      <c r="O80" s="147"/>
      <c r="P80" s="147"/>
      <c r="Q80" s="147"/>
      <c r="R80" s="147"/>
      <c r="S80" s="147"/>
      <c r="T80" s="147"/>
      <c r="U80" s="147"/>
      <c r="V80" s="147"/>
      <c r="W80" s="147"/>
      <c r="X80" s="147"/>
      <c r="Y80" s="147"/>
      <c r="Z80" s="147"/>
      <c r="AA80" s="147"/>
      <c r="AB80" s="147"/>
      <c r="AC80" s="147"/>
      <c r="AD80" s="147"/>
      <c r="AE80" s="147"/>
      <c r="AF80" s="147"/>
      <c r="AG80" s="147"/>
      <c r="AH80" s="147"/>
      <c r="AI80" s="147"/>
    </row>
    <row r="81" spans="2:35">
      <c r="B81" s="147"/>
      <c r="C81" s="147"/>
      <c r="D81" s="147"/>
      <c r="E81" s="147"/>
      <c r="F81" s="147"/>
      <c r="G81" s="147"/>
      <c r="H81" s="147"/>
      <c r="I81" s="147"/>
      <c r="J81" s="147"/>
      <c r="K81" s="147"/>
      <c r="L81" s="147"/>
      <c r="M81" s="147"/>
      <c r="N81" s="147"/>
      <c r="O81" s="147"/>
      <c r="P81" s="147"/>
      <c r="Q81" s="147"/>
      <c r="R81" s="147"/>
      <c r="S81" s="147"/>
      <c r="T81" s="147"/>
      <c r="U81" s="147"/>
      <c r="V81" s="147"/>
      <c r="W81" s="147"/>
      <c r="X81" s="147"/>
      <c r="Y81" s="147"/>
      <c r="Z81" s="147"/>
      <c r="AA81" s="147"/>
      <c r="AB81" s="147"/>
      <c r="AC81" s="147"/>
      <c r="AD81" s="147"/>
      <c r="AE81" s="147"/>
      <c r="AF81" s="147"/>
      <c r="AG81" s="147"/>
      <c r="AH81" s="147"/>
      <c r="AI81" s="147"/>
    </row>
  </sheetData>
  <sheetProtection password="A921" sheet="1" objects="1" scenarios="1" formatCells="0" formatColumns="0" formatRows="0" insertHyperlinks="0" autoFilter="0" pivotTables="0"/>
  <mergeCells count="26">
    <mergeCell ref="E1:I3"/>
    <mergeCell ref="E4:I5"/>
    <mergeCell ref="D10:E10"/>
    <mergeCell ref="B12:B14"/>
    <mergeCell ref="B17:B19"/>
    <mergeCell ref="I7:J7"/>
    <mergeCell ref="J17:K17"/>
    <mergeCell ref="J18:K18"/>
    <mergeCell ref="J19:K19"/>
    <mergeCell ref="J21:K21"/>
    <mergeCell ref="J22:K22"/>
    <mergeCell ref="J10:K10"/>
    <mergeCell ref="J11:K11"/>
    <mergeCell ref="J12:K12"/>
    <mergeCell ref="J13:K13"/>
    <mergeCell ref="J14:K14"/>
    <mergeCell ref="D30:K30"/>
    <mergeCell ref="D31:K31"/>
    <mergeCell ref="D32:K32"/>
    <mergeCell ref="J24:K24"/>
    <mergeCell ref="J26:K26"/>
    <mergeCell ref="J27:K27"/>
    <mergeCell ref="J28:K28"/>
    <mergeCell ref="B29:K29"/>
    <mergeCell ref="B22:B24"/>
    <mergeCell ref="J23:K23"/>
  </mergeCells>
  <conditionalFormatting sqref="F17:F19">
    <cfRule type="expression" dxfId="19" priority="11">
      <formula>F17="Unscored"</formula>
    </cfRule>
    <cfRule type="expression" dxfId="18" priority="12">
      <formula>F17="Exemplary"</formula>
    </cfRule>
    <cfRule type="expression" dxfId="17" priority="13">
      <formula>F17="Improving"</formula>
    </cfRule>
    <cfRule type="expression" dxfId="16" priority="14">
      <formula>F17="Not improving"</formula>
    </cfRule>
    <cfRule type="expression" dxfId="15" priority="15">
      <formula>F17="Unfavourable"</formula>
    </cfRule>
  </conditionalFormatting>
  <conditionalFormatting sqref="F12:F14">
    <cfRule type="expression" dxfId="14" priority="6">
      <formula>F12="Unscored"</formula>
    </cfRule>
    <cfRule type="expression" dxfId="13" priority="7">
      <formula>F12="Exemplary"</formula>
    </cfRule>
    <cfRule type="expression" dxfId="12" priority="8">
      <formula>F12="Improving"</formula>
    </cfRule>
    <cfRule type="expression" dxfId="11" priority="9">
      <formula>F12="Not improving"</formula>
    </cfRule>
    <cfRule type="expression" dxfId="10" priority="10">
      <formula>F12="Unfavourable"</formula>
    </cfRule>
  </conditionalFormatting>
  <conditionalFormatting sqref="F22:F24">
    <cfRule type="expression" dxfId="9" priority="1">
      <formula>F22="Unscored"</formula>
    </cfRule>
    <cfRule type="expression" dxfId="8" priority="2">
      <formula>F22="Exemplary"</formula>
    </cfRule>
    <cfRule type="expression" dxfId="7" priority="3">
      <formula>F22="Improving"</formula>
    </cfRule>
    <cfRule type="expression" dxfId="6" priority="4">
      <formula>F22="Not improving"</formula>
    </cfRule>
    <cfRule type="expression" dxfId="5" priority="5">
      <formula>F22="Unfavourable"</formula>
    </cfRule>
  </conditionalFormatting>
  <dataValidations count="1">
    <dataValidation type="list" allowBlank="1" showInputMessage="1" showErrorMessage="1" sqref="F17:F19 F12:F14 F22:F24">
      <formula1>$AE$1:$AE$5</formula1>
    </dataValidation>
  </dataValidations>
  <pageMargins left="0.31496062992125984" right="0.31496062992125984" top="0.35433070866141736" bottom="0.35433070866141736" header="0.31496062992125984" footer="0.31496062992125984"/>
  <pageSetup paperSize="9" orientation="portrait" horizontalDpi="1200" verticalDpi="1200" r:id="rId1"/>
  <ignoredErrors>
    <ignoredError sqref="F15:F16 F20:F21" unlockedFormula="1"/>
  </ignoredError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2:AQ342"/>
  <sheetViews>
    <sheetView zoomScale="175" zoomScaleNormal="175" zoomScaleSheetLayoutView="75" zoomScalePageLayoutView="10" workbookViewId="0">
      <selection activeCell="D187" sqref="D187"/>
    </sheetView>
  </sheetViews>
  <sheetFormatPr defaultRowHeight="12.75"/>
  <cols>
    <col min="1" max="13" width="9.33203125" style="285"/>
    <col min="14" max="15" width="10.6640625" style="285" customWidth="1"/>
    <col min="16" max="16384" width="9.33203125" style="285"/>
  </cols>
  <sheetData>
    <row r="2" spans="2:37">
      <c r="B2" s="279" t="s">
        <v>642</v>
      </c>
      <c r="C2" s="280"/>
      <c r="D2" s="280"/>
      <c r="E2" s="280"/>
      <c r="F2" s="280"/>
      <c r="G2" s="280"/>
      <c r="H2" s="280"/>
      <c r="I2" s="280"/>
      <c r="J2" s="280"/>
      <c r="K2" s="280"/>
      <c r="L2" s="280"/>
      <c r="M2" s="281" t="s">
        <v>643</v>
      </c>
      <c r="N2" s="282"/>
      <c r="O2" s="282"/>
      <c r="P2" s="282"/>
      <c r="Q2" s="282"/>
      <c r="R2" s="282"/>
      <c r="S2" s="282"/>
      <c r="T2" s="282"/>
      <c r="U2" s="282"/>
      <c r="V2" s="282"/>
      <c r="W2" s="282"/>
      <c r="X2" s="282"/>
      <c r="Y2" s="283" t="s">
        <v>644</v>
      </c>
      <c r="Z2" s="284"/>
      <c r="AA2" s="284"/>
      <c r="AB2" s="284"/>
      <c r="AC2" s="284"/>
      <c r="AD2" s="284"/>
      <c r="AE2" s="284"/>
      <c r="AF2" s="284"/>
      <c r="AG2" s="284"/>
      <c r="AH2" s="284"/>
      <c r="AI2" s="284"/>
      <c r="AJ2" s="284"/>
      <c r="AK2" s="284"/>
    </row>
    <row r="3" spans="2:37">
      <c r="B3" s="280"/>
      <c r="C3" s="280">
        <v>2015</v>
      </c>
      <c r="D3" s="280"/>
      <c r="E3" s="280"/>
      <c r="F3" s="280"/>
      <c r="G3" s="280"/>
      <c r="H3" s="280"/>
      <c r="I3" s="280"/>
      <c r="J3" s="280"/>
      <c r="K3" s="280"/>
      <c r="L3" s="280"/>
      <c r="M3" s="282" t="s">
        <v>645</v>
      </c>
      <c r="N3" s="282"/>
      <c r="O3" s="282"/>
      <c r="P3" s="282"/>
      <c r="Q3" s="282"/>
      <c r="R3" s="282"/>
      <c r="S3" s="282"/>
      <c r="T3" s="282"/>
      <c r="U3" s="282"/>
      <c r="V3" s="282"/>
      <c r="W3" s="282"/>
      <c r="X3" s="282"/>
      <c r="Y3" s="284"/>
      <c r="Z3" s="284"/>
      <c r="AA3" s="284"/>
      <c r="AB3" s="284"/>
      <c r="AC3" s="284"/>
      <c r="AD3" s="284"/>
      <c r="AE3" s="284"/>
      <c r="AF3" s="284"/>
      <c r="AG3" s="284"/>
      <c r="AH3" s="284"/>
      <c r="AI3" s="284"/>
      <c r="AJ3" s="284"/>
      <c r="AK3" s="284"/>
    </row>
    <row r="4" spans="2:37">
      <c r="B4" s="280" t="s">
        <v>646</v>
      </c>
      <c r="C4" s="286" t="s">
        <v>647</v>
      </c>
      <c r="D4" s="280"/>
      <c r="E4" s="280"/>
      <c r="F4" s="280"/>
      <c r="G4" s="280"/>
      <c r="H4" s="280"/>
      <c r="I4" s="280"/>
      <c r="J4" s="280"/>
      <c r="K4" s="280"/>
      <c r="L4" s="280"/>
      <c r="M4" s="282" t="s">
        <v>648</v>
      </c>
      <c r="N4" s="282"/>
      <c r="O4" s="282"/>
      <c r="P4" s="282"/>
      <c r="Q4" s="282"/>
      <c r="R4" s="282"/>
      <c r="S4" s="282"/>
      <c r="T4" s="282"/>
      <c r="U4" s="282"/>
      <c r="V4" s="282"/>
      <c r="W4" s="282"/>
      <c r="X4" s="282"/>
      <c r="Y4" s="284"/>
      <c r="Z4" s="284" t="s">
        <v>649</v>
      </c>
      <c r="AA4" s="284" t="s">
        <v>650</v>
      </c>
      <c r="AB4" s="284"/>
      <c r="AC4" s="284"/>
      <c r="AD4" s="284" t="s">
        <v>651</v>
      </c>
      <c r="AE4" s="284"/>
      <c r="AF4" s="284"/>
      <c r="AG4" s="284" t="s">
        <v>652</v>
      </c>
      <c r="AH4" s="284"/>
      <c r="AI4" s="284"/>
      <c r="AJ4" s="284"/>
      <c r="AK4" s="284"/>
    </row>
    <row r="5" spans="2:37">
      <c r="B5" s="280" t="s">
        <v>653</v>
      </c>
      <c r="C5" s="286" t="s">
        <v>654</v>
      </c>
      <c r="D5" s="280"/>
      <c r="E5" s="280"/>
      <c r="F5" s="280"/>
      <c r="G5" s="280"/>
      <c r="H5" s="280"/>
      <c r="I5" s="280"/>
      <c r="J5" s="280"/>
      <c r="K5" s="280"/>
      <c r="L5" s="280"/>
      <c r="M5" s="282"/>
      <c r="N5" s="282"/>
      <c r="O5" s="282"/>
      <c r="P5" s="282"/>
      <c r="Q5" s="282"/>
      <c r="R5" s="282"/>
      <c r="S5" s="282"/>
      <c r="T5" s="282"/>
      <c r="U5" s="282"/>
      <c r="V5" s="282"/>
      <c r="W5" s="282"/>
      <c r="X5" s="282"/>
      <c r="Y5" s="284" t="s">
        <v>655</v>
      </c>
      <c r="Z5" s="287">
        <v>0.25</v>
      </c>
      <c r="AA5" s="287">
        <v>0.04</v>
      </c>
      <c r="AB5" s="284"/>
      <c r="AC5" s="284" t="s">
        <v>656</v>
      </c>
      <c r="AD5" s="287">
        <v>0.32</v>
      </c>
      <c r="AE5" s="284"/>
      <c r="AF5" s="284" t="s">
        <v>657</v>
      </c>
      <c r="AG5" s="287">
        <v>0.64</v>
      </c>
      <c r="AH5" s="284"/>
      <c r="AI5" s="284"/>
      <c r="AJ5" s="284"/>
      <c r="AK5" s="284"/>
    </row>
    <row r="6" spans="2:37">
      <c r="B6" s="280" t="s">
        <v>658</v>
      </c>
      <c r="C6" s="288">
        <f>1075/7722</f>
        <v>0.13921263921263921</v>
      </c>
      <c r="D6" s="280"/>
      <c r="E6" s="280"/>
      <c r="F6" s="280"/>
      <c r="G6" s="280"/>
      <c r="H6" s="280"/>
      <c r="I6" s="280"/>
      <c r="J6" s="280"/>
      <c r="K6" s="280"/>
      <c r="L6" s="280"/>
      <c r="M6" s="282"/>
      <c r="N6" s="282"/>
      <c r="O6" s="282"/>
      <c r="P6" s="282"/>
      <c r="Q6" s="282"/>
      <c r="R6" s="282" t="s">
        <v>659</v>
      </c>
      <c r="S6" s="282"/>
      <c r="T6" s="282"/>
      <c r="U6" s="282"/>
      <c r="V6" s="282"/>
      <c r="W6" s="282"/>
      <c r="X6" s="282"/>
      <c r="Y6" s="284" t="s">
        <v>660</v>
      </c>
      <c r="Z6" s="287">
        <v>0.27</v>
      </c>
      <c r="AA6" s="287">
        <v>0.24</v>
      </c>
      <c r="AB6" s="284"/>
      <c r="AC6" s="284" t="s">
        <v>661</v>
      </c>
      <c r="AD6" s="287">
        <v>0.25</v>
      </c>
      <c r="AE6" s="284"/>
      <c r="AF6" s="284" t="s">
        <v>662</v>
      </c>
      <c r="AG6" s="287">
        <v>0.33</v>
      </c>
      <c r="AH6" s="284"/>
      <c r="AI6" s="284"/>
      <c r="AJ6" s="284"/>
      <c r="AK6" s="284"/>
    </row>
    <row r="7" spans="2:37">
      <c r="B7" s="280" t="s">
        <v>663</v>
      </c>
      <c r="C7" s="289">
        <v>7.5999999999999998E-2</v>
      </c>
      <c r="D7" s="280"/>
      <c r="E7" s="280"/>
      <c r="F7" s="280"/>
      <c r="G7" s="280"/>
      <c r="H7" s="280"/>
      <c r="I7" s="280"/>
      <c r="J7" s="280"/>
      <c r="K7" s="280"/>
      <c r="L7" s="280"/>
      <c r="M7" s="282"/>
      <c r="N7" s="282"/>
      <c r="O7" s="282"/>
      <c r="P7" s="282"/>
      <c r="Q7" s="282"/>
      <c r="R7" s="282"/>
      <c r="S7" s="282"/>
      <c r="T7" s="282"/>
      <c r="U7" s="282"/>
      <c r="V7" s="282"/>
      <c r="W7" s="282"/>
      <c r="X7" s="282"/>
      <c r="Y7" s="284" t="s">
        <v>664</v>
      </c>
      <c r="Z7" s="287">
        <v>0.02</v>
      </c>
      <c r="AA7" s="287">
        <v>0.06</v>
      </c>
      <c r="AB7" s="284"/>
      <c r="AC7" s="284" t="s">
        <v>665</v>
      </c>
      <c r="AD7" s="287">
        <v>7.0000000000000007E-2</v>
      </c>
      <c r="AE7" s="284"/>
      <c r="AF7" s="284" t="s">
        <v>666</v>
      </c>
      <c r="AG7" s="287">
        <v>0.02</v>
      </c>
      <c r="AH7" s="284"/>
      <c r="AI7" s="284"/>
      <c r="AJ7" s="284"/>
      <c r="AK7" s="284"/>
    </row>
    <row r="8" spans="2:37">
      <c r="B8" s="280"/>
      <c r="C8" s="286"/>
      <c r="D8" s="280"/>
      <c r="E8" s="280"/>
      <c r="F8" s="280"/>
      <c r="G8" s="280"/>
      <c r="H8" s="280"/>
      <c r="I8" s="280"/>
      <c r="J8" s="280"/>
      <c r="K8" s="280"/>
      <c r="L8" s="280"/>
      <c r="M8" s="282"/>
      <c r="N8" s="282"/>
      <c r="O8" s="282"/>
      <c r="P8" s="282"/>
      <c r="Q8" s="282"/>
      <c r="R8" s="282"/>
      <c r="S8" s="282"/>
      <c r="T8" s="282"/>
      <c r="U8" s="282"/>
      <c r="V8" s="282"/>
      <c r="W8" s="282"/>
      <c r="X8" s="282"/>
      <c r="Y8" s="284" t="s">
        <v>667</v>
      </c>
      <c r="Z8" s="287">
        <v>0.19</v>
      </c>
      <c r="AA8" s="287">
        <v>0.23</v>
      </c>
      <c r="AB8" s="284"/>
      <c r="AC8" s="284" t="s">
        <v>668</v>
      </c>
      <c r="AD8" s="287">
        <v>0.02</v>
      </c>
      <c r="AE8" s="284"/>
      <c r="AF8" s="284" t="s">
        <v>669</v>
      </c>
      <c r="AG8" s="287">
        <v>0.01</v>
      </c>
      <c r="AH8" s="284"/>
      <c r="AI8" s="284"/>
      <c r="AJ8" s="284"/>
      <c r="AK8" s="284"/>
    </row>
    <row r="9" spans="2:37">
      <c r="B9" s="280"/>
      <c r="C9" s="280"/>
      <c r="D9" s="280"/>
      <c r="E9" s="280"/>
      <c r="F9" s="280"/>
      <c r="G9" s="280"/>
      <c r="H9" s="280"/>
      <c r="I9" s="280"/>
      <c r="J9" s="280"/>
      <c r="K9" s="280"/>
      <c r="L9" s="280"/>
      <c r="M9" s="282"/>
      <c r="N9" s="282"/>
      <c r="O9" s="282"/>
      <c r="P9" s="282"/>
      <c r="Q9" s="282"/>
      <c r="R9" s="282"/>
      <c r="S9" s="282"/>
      <c r="T9" s="282"/>
      <c r="U9" s="282"/>
      <c r="V9" s="282"/>
      <c r="W9" s="282"/>
      <c r="X9" s="282"/>
      <c r="Y9" s="284" t="s">
        <v>670</v>
      </c>
      <c r="Z9" s="287">
        <v>0.09</v>
      </c>
      <c r="AA9" s="287">
        <v>0.14000000000000001</v>
      </c>
      <c r="AB9" s="284"/>
      <c r="AC9" s="284" t="s">
        <v>671</v>
      </c>
      <c r="AD9" s="287">
        <v>0.06</v>
      </c>
      <c r="AE9" s="284"/>
      <c r="AF9" s="284"/>
      <c r="AG9" s="287">
        <f>SUM(AG5:AG8)</f>
        <v>1</v>
      </c>
      <c r="AH9" s="284"/>
      <c r="AI9" s="284"/>
      <c r="AJ9" s="284"/>
      <c r="AK9" s="284"/>
    </row>
    <row r="10" spans="2:37">
      <c r="B10" s="280"/>
      <c r="C10" s="280"/>
      <c r="D10" s="280"/>
      <c r="E10" s="280"/>
      <c r="F10" s="280"/>
      <c r="G10" s="280"/>
      <c r="H10" s="280"/>
      <c r="I10" s="280"/>
      <c r="J10" s="280"/>
      <c r="K10" s="280"/>
      <c r="L10" s="280"/>
      <c r="M10" s="282"/>
      <c r="N10" s="282"/>
      <c r="O10" s="282"/>
      <c r="P10" s="282"/>
      <c r="Q10" s="282"/>
      <c r="R10" s="282"/>
      <c r="S10" s="282"/>
      <c r="T10" s="282"/>
      <c r="U10" s="282"/>
      <c r="V10" s="282"/>
      <c r="W10" s="282"/>
      <c r="X10" s="282"/>
      <c r="Y10" s="284" t="s">
        <v>58</v>
      </c>
      <c r="Z10" s="287">
        <v>0.11</v>
      </c>
      <c r="AA10" s="287">
        <v>0.12</v>
      </c>
      <c r="AB10" s="284"/>
      <c r="AC10" s="284" t="s">
        <v>672</v>
      </c>
      <c r="AD10" s="287">
        <v>7.0000000000000007E-2</v>
      </c>
      <c r="AE10" s="284"/>
      <c r="AF10" s="284"/>
      <c r="AG10" s="284"/>
      <c r="AH10" s="284"/>
      <c r="AI10" s="284"/>
      <c r="AJ10" s="284"/>
      <c r="AK10" s="284"/>
    </row>
    <row r="11" spans="2:37">
      <c r="B11" s="280"/>
      <c r="C11" s="280"/>
      <c r="D11" s="280"/>
      <c r="E11" s="280"/>
      <c r="F11" s="280"/>
      <c r="G11" s="280"/>
      <c r="H11" s="280"/>
      <c r="I11" s="280"/>
      <c r="J11" s="280"/>
      <c r="K11" s="280"/>
      <c r="L11" s="280"/>
      <c r="M11" s="282"/>
      <c r="N11" s="282"/>
      <c r="O11" s="282"/>
      <c r="P11" s="282"/>
      <c r="Q11" s="282"/>
      <c r="R11" s="282"/>
      <c r="S11" s="282"/>
      <c r="T11" s="282"/>
      <c r="U11" s="282"/>
      <c r="V11" s="282"/>
      <c r="W11" s="282"/>
      <c r="X11" s="282"/>
      <c r="Y11" s="284" t="s">
        <v>673</v>
      </c>
      <c r="Z11" s="287">
        <v>0.01</v>
      </c>
      <c r="AA11" s="287">
        <v>0.02</v>
      </c>
      <c r="AB11" s="284"/>
      <c r="AC11" s="284" t="s">
        <v>674</v>
      </c>
      <c r="AD11" s="287">
        <v>0.01</v>
      </c>
      <c r="AE11" s="284"/>
      <c r="AF11" s="284"/>
      <c r="AG11" s="284"/>
      <c r="AH11" s="284"/>
      <c r="AI11" s="284"/>
      <c r="AJ11" s="284"/>
      <c r="AK11" s="284"/>
    </row>
    <row r="12" spans="2:37">
      <c r="B12" s="280"/>
      <c r="C12" s="280"/>
      <c r="D12" s="280"/>
      <c r="E12" s="280"/>
      <c r="F12" s="280"/>
      <c r="G12" s="280"/>
      <c r="H12" s="280"/>
      <c r="I12" s="280"/>
      <c r="J12" s="280"/>
      <c r="K12" s="280"/>
      <c r="L12" s="280"/>
      <c r="M12" s="282"/>
      <c r="N12" s="282"/>
      <c r="O12" s="282"/>
      <c r="P12" s="282"/>
      <c r="Q12" s="282"/>
      <c r="R12" s="282"/>
      <c r="S12" s="282"/>
      <c r="T12" s="282"/>
      <c r="U12" s="282"/>
      <c r="V12" s="282"/>
      <c r="W12" s="282"/>
      <c r="X12" s="282"/>
      <c r="Y12" s="284" t="s">
        <v>675</v>
      </c>
      <c r="Z12" s="287">
        <v>0.01</v>
      </c>
      <c r="AA12" s="287">
        <v>0.03</v>
      </c>
      <c r="AB12" s="284"/>
      <c r="AC12" s="284" t="s">
        <v>676</v>
      </c>
      <c r="AD12" s="287">
        <v>0.05</v>
      </c>
      <c r="AE12" s="284"/>
      <c r="AF12" s="284"/>
      <c r="AG12" s="284"/>
      <c r="AH12" s="284"/>
      <c r="AI12" s="284"/>
      <c r="AJ12" s="284"/>
      <c r="AK12" s="284"/>
    </row>
    <row r="13" spans="2:37">
      <c r="B13" s="280"/>
      <c r="C13" s="280"/>
      <c r="D13" s="280"/>
      <c r="E13" s="280"/>
      <c r="F13" s="280"/>
      <c r="G13" s="280"/>
      <c r="H13" s="280"/>
      <c r="I13" s="280"/>
      <c r="J13" s="280"/>
      <c r="K13" s="280"/>
      <c r="L13" s="280"/>
      <c r="M13" s="282"/>
      <c r="N13" s="282"/>
      <c r="O13" s="282"/>
      <c r="P13" s="282"/>
      <c r="Q13" s="282"/>
      <c r="R13" s="282"/>
      <c r="S13" s="282"/>
      <c r="T13" s="282"/>
      <c r="U13" s="282"/>
      <c r="V13" s="282"/>
      <c r="W13" s="282"/>
      <c r="X13" s="282"/>
      <c r="Y13" s="284" t="s">
        <v>677</v>
      </c>
      <c r="Z13" s="287">
        <v>0.04</v>
      </c>
      <c r="AA13" s="287">
        <v>0.09</v>
      </c>
      <c r="AB13" s="284"/>
      <c r="AC13" s="284" t="s">
        <v>678</v>
      </c>
      <c r="AD13" s="287">
        <v>7.0000000000000007E-2</v>
      </c>
      <c r="AE13" s="284"/>
      <c r="AF13" s="284"/>
      <c r="AG13" s="284"/>
      <c r="AH13" s="284"/>
      <c r="AI13" s="284"/>
      <c r="AJ13" s="284"/>
      <c r="AK13" s="284"/>
    </row>
    <row r="14" spans="2:37">
      <c r="B14" s="280"/>
      <c r="C14" s="280"/>
      <c r="D14" s="280"/>
      <c r="E14" s="280"/>
      <c r="F14" s="280"/>
      <c r="G14" s="280"/>
      <c r="H14" s="280"/>
      <c r="I14" s="280"/>
      <c r="J14" s="280"/>
      <c r="K14" s="280"/>
      <c r="L14" s="280"/>
      <c r="M14" s="282"/>
      <c r="N14" s="282"/>
      <c r="O14" s="282"/>
      <c r="P14" s="282"/>
      <c r="Q14" s="282"/>
      <c r="R14" s="282"/>
      <c r="S14" s="282"/>
      <c r="T14" s="282"/>
      <c r="U14" s="282"/>
      <c r="V14" s="282"/>
      <c r="W14" s="282"/>
      <c r="X14" s="282"/>
      <c r="Y14" s="284" t="s">
        <v>679</v>
      </c>
      <c r="Z14" s="287">
        <v>0.01</v>
      </c>
      <c r="AA14" s="287">
        <v>0.03</v>
      </c>
      <c r="AB14" s="284"/>
      <c r="AC14" s="284" t="s">
        <v>680</v>
      </c>
      <c r="AD14" s="287">
        <v>0.08</v>
      </c>
      <c r="AE14" s="284"/>
      <c r="AF14" s="284"/>
      <c r="AG14" s="284"/>
      <c r="AH14" s="284"/>
      <c r="AI14" s="284"/>
      <c r="AJ14" s="284"/>
      <c r="AK14" s="284"/>
    </row>
    <row r="15" spans="2:37">
      <c r="B15" s="280"/>
      <c r="C15" s="280"/>
      <c r="D15" s="280"/>
      <c r="E15" s="280"/>
      <c r="F15" s="280"/>
      <c r="G15" s="280"/>
      <c r="H15" s="280"/>
      <c r="I15" s="280"/>
      <c r="J15" s="280"/>
      <c r="K15" s="280"/>
      <c r="L15" s="280"/>
      <c r="M15" s="282"/>
      <c r="N15" s="282"/>
      <c r="O15" s="282"/>
      <c r="P15" s="282"/>
      <c r="Q15" s="282"/>
      <c r="R15" s="282"/>
      <c r="S15" s="282"/>
      <c r="T15" s="282"/>
      <c r="U15" s="282"/>
      <c r="V15" s="282"/>
      <c r="W15" s="282"/>
      <c r="X15" s="282"/>
      <c r="Y15" s="284"/>
      <c r="Z15" s="287">
        <f>SUM(Z5:Z14)</f>
        <v>1</v>
      </c>
      <c r="AA15" s="287">
        <f>SUM(AA5:AA14)</f>
        <v>1</v>
      </c>
      <c r="AB15" s="284"/>
      <c r="AC15" s="284"/>
      <c r="AD15" s="287">
        <f>SUM(AD5:AD14)</f>
        <v>1.0000000000000004</v>
      </c>
      <c r="AE15" s="284"/>
      <c r="AF15" s="284"/>
      <c r="AG15" s="284"/>
      <c r="AH15" s="284"/>
      <c r="AI15" s="284"/>
      <c r="AJ15" s="284"/>
      <c r="AK15" s="284"/>
    </row>
    <row r="16" spans="2:37">
      <c r="B16" s="280"/>
      <c r="C16" s="280"/>
      <c r="D16" s="280"/>
      <c r="E16" s="280"/>
      <c r="F16" s="280"/>
      <c r="G16" s="280"/>
      <c r="H16" s="280"/>
      <c r="I16" s="280"/>
      <c r="J16" s="280"/>
      <c r="K16" s="280"/>
      <c r="L16" s="280"/>
      <c r="M16" s="282"/>
      <c r="N16" s="282"/>
      <c r="O16" s="282"/>
      <c r="P16" s="282"/>
      <c r="Q16" s="282"/>
      <c r="R16" s="282"/>
      <c r="S16" s="282"/>
      <c r="T16" s="282"/>
      <c r="U16" s="282"/>
      <c r="V16" s="282"/>
      <c r="W16" s="282"/>
      <c r="X16" s="282"/>
      <c r="Y16" s="284"/>
      <c r="Z16" s="284"/>
      <c r="AA16" s="284"/>
      <c r="AB16" s="284"/>
      <c r="AC16" s="284"/>
      <c r="AD16" s="284"/>
      <c r="AE16" s="284"/>
      <c r="AF16" s="284"/>
      <c r="AG16" s="284"/>
      <c r="AH16" s="284"/>
      <c r="AI16" s="284"/>
      <c r="AJ16" s="284"/>
      <c r="AK16" s="284"/>
    </row>
    <row r="17" spans="2:37">
      <c r="B17" s="290" t="s">
        <v>681</v>
      </c>
      <c r="C17" s="291"/>
      <c r="D17" s="291"/>
      <c r="E17" s="291"/>
      <c r="F17" s="291"/>
      <c r="G17" s="291"/>
      <c r="H17" s="291"/>
      <c r="I17" s="291"/>
      <c r="J17" s="291"/>
      <c r="K17" s="291"/>
      <c r="L17" s="291"/>
      <c r="M17" s="291"/>
      <c r="N17" s="291"/>
      <c r="O17" s="291"/>
      <c r="P17" s="291"/>
      <c r="Q17" s="291"/>
      <c r="R17" s="291"/>
      <c r="S17" s="291"/>
      <c r="T17" s="291"/>
      <c r="U17" s="291"/>
      <c r="V17" s="291"/>
      <c r="W17" s="291"/>
      <c r="X17" s="291"/>
      <c r="Y17" s="292" t="s">
        <v>682</v>
      </c>
      <c r="Z17" s="293"/>
      <c r="AA17" s="293"/>
      <c r="AB17" s="293"/>
      <c r="AC17" s="293"/>
      <c r="AD17" s="293"/>
      <c r="AE17" s="293"/>
      <c r="AF17" s="293"/>
      <c r="AG17" s="293"/>
      <c r="AH17" s="293"/>
      <c r="AI17" s="293"/>
      <c r="AJ17" s="293"/>
      <c r="AK17" s="293"/>
    </row>
    <row r="18" spans="2:37">
      <c r="B18" s="291" t="s">
        <v>683</v>
      </c>
      <c r="C18" s="291"/>
      <c r="D18" s="291"/>
      <c r="E18" s="291"/>
      <c r="F18" s="291"/>
      <c r="G18" s="291"/>
      <c r="H18" s="291"/>
      <c r="I18" s="291"/>
      <c r="J18" s="291"/>
      <c r="K18" s="291"/>
      <c r="L18" s="291"/>
      <c r="M18" s="291"/>
      <c r="N18" s="291"/>
      <c r="O18" s="291"/>
      <c r="P18" s="291"/>
      <c r="Q18" s="291"/>
      <c r="R18" s="291"/>
      <c r="S18" s="291"/>
      <c r="T18" s="291"/>
      <c r="U18" s="291"/>
      <c r="V18" s="291"/>
      <c r="W18" s="291"/>
      <c r="X18" s="291"/>
      <c r="Y18" s="293"/>
      <c r="Z18" s="293"/>
      <c r="AA18" s="293"/>
      <c r="AB18" s="293"/>
      <c r="AC18" s="293"/>
      <c r="AD18" s="293"/>
      <c r="AE18" s="293"/>
      <c r="AF18" s="293"/>
      <c r="AG18" s="293"/>
      <c r="AH18" s="293"/>
      <c r="AI18" s="293"/>
      <c r="AJ18" s="293"/>
      <c r="AK18" s="293"/>
    </row>
    <row r="19" spans="2:37">
      <c r="B19" s="291" t="s">
        <v>684</v>
      </c>
      <c r="C19" s="291"/>
      <c r="D19" s="291"/>
      <c r="E19" s="291"/>
      <c r="F19" s="291"/>
      <c r="G19" s="291"/>
      <c r="H19" s="291"/>
      <c r="I19" s="291"/>
      <c r="J19" s="291"/>
      <c r="K19" s="291"/>
      <c r="L19" s="291"/>
      <c r="M19" s="291"/>
      <c r="N19" s="291"/>
      <c r="O19" s="291"/>
      <c r="P19" s="291"/>
      <c r="Q19" s="291"/>
      <c r="R19" s="291"/>
      <c r="S19" s="291"/>
      <c r="T19" s="291"/>
      <c r="U19" s="291"/>
      <c r="V19" s="291"/>
      <c r="W19" s="291"/>
      <c r="X19" s="291"/>
      <c r="Y19" s="293"/>
      <c r="Z19" s="293"/>
      <c r="AA19" s="293"/>
      <c r="AB19" s="293"/>
      <c r="AC19" s="293"/>
      <c r="AD19" s="293"/>
      <c r="AE19" s="293"/>
      <c r="AF19" s="293"/>
      <c r="AG19" s="293"/>
      <c r="AH19" s="293"/>
      <c r="AI19" s="293"/>
      <c r="AJ19" s="293"/>
      <c r="AK19" s="293"/>
    </row>
    <row r="20" spans="2:37">
      <c r="B20" s="291" t="s">
        <v>685</v>
      </c>
      <c r="C20" s="291"/>
      <c r="D20" s="291"/>
      <c r="E20" s="291"/>
      <c r="F20" s="291"/>
      <c r="G20" s="291"/>
      <c r="H20" s="291"/>
      <c r="I20" s="291"/>
      <c r="J20" s="291"/>
      <c r="K20" s="291"/>
      <c r="L20" s="291"/>
      <c r="M20" s="291"/>
      <c r="N20" s="291"/>
      <c r="O20" s="291"/>
      <c r="P20" s="291"/>
      <c r="Q20" s="291"/>
      <c r="R20" s="291"/>
      <c r="S20" s="291"/>
      <c r="T20" s="291"/>
      <c r="U20" s="291"/>
      <c r="V20" s="291"/>
      <c r="W20" s="291"/>
      <c r="X20" s="291"/>
      <c r="Y20" s="293"/>
      <c r="Z20" s="293"/>
      <c r="AA20" s="293"/>
      <c r="AB20" s="293"/>
      <c r="AC20" s="293"/>
      <c r="AD20" s="293"/>
      <c r="AE20" s="293"/>
      <c r="AF20" s="293"/>
      <c r="AG20" s="293"/>
      <c r="AH20" s="293"/>
      <c r="AI20" s="293"/>
      <c r="AJ20" s="293"/>
      <c r="AK20" s="293"/>
    </row>
    <row r="21" spans="2:37">
      <c r="B21" s="291"/>
      <c r="C21" s="291"/>
      <c r="D21" s="291"/>
      <c r="E21" s="291"/>
      <c r="F21" s="291"/>
      <c r="G21" s="291"/>
      <c r="H21" s="291"/>
      <c r="I21" s="291"/>
      <c r="J21" s="291"/>
      <c r="K21" s="291"/>
      <c r="L21" s="291"/>
      <c r="M21" s="291"/>
      <c r="N21" s="291"/>
      <c r="O21" s="291"/>
      <c r="P21" s="291"/>
      <c r="Q21" s="291"/>
      <c r="R21" s="291"/>
      <c r="S21" s="291"/>
      <c r="T21" s="291"/>
      <c r="U21" s="291"/>
      <c r="V21" s="291"/>
      <c r="W21" s="291"/>
      <c r="X21" s="291"/>
      <c r="Y21" s="293"/>
      <c r="Z21" s="293"/>
      <c r="AA21" s="293"/>
      <c r="AB21" s="293"/>
      <c r="AC21" s="293"/>
      <c r="AD21" s="293"/>
      <c r="AE21" s="293"/>
      <c r="AF21" s="293"/>
      <c r="AG21" s="293"/>
      <c r="AH21" s="293"/>
      <c r="AI21" s="293"/>
      <c r="AJ21" s="293"/>
      <c r="AK21" s="293"/>
    </row>
    <row r="22" spans="2:37">
      <c r="B22" s="291" t="s">
        <v>686</v>
      </c>
      <c r="C22" s="291"/>
      <c r="D22" s="291"/>
      <c r="E22" s="291"/>
      <c r="F22" s="291"/>
      <c r="G22" s="291"/>
      <c r="H22" s="291"/>
      <c r="I22" s="291"/>
      <c r="J22" s="291"/>
      <c r="K22" s="291"/>
      <c r="L22" s="291"/>
      <c r="M22" s="291"/>
      <c r="N22" s="291"/>
      <c r="O22" s="291"/>
      <c r="P22" s="291"/>
      <c r="Q22" s="291"/>
      <c r="R22" s="291"/>
      <c r="S22" s="291"/>
      <c r="T22" s="291"/>
      <c r="U22" s="291"/>
      <c r="V22" s="291"/>
      <c r="W22" s="291"/>
      <c r="X22" s="291"/>
      <c r="Y22" s="293"/>
      <c r="Z22" s="293"/>
      <c r="AA22" s="293"/>
      <c r="AB22" s="293"/>
      <c r="AC22" s="293"/>
      <c r="AD22" s="293"/>
      <c r="AE22" s="293"/>
      <c r="AF22" s="293"/>
      <c r="AG22" s="293"/>
      <c r="AH22" s="293"/>
      <c r="AI22" s="293"/>
      <c r="AJ22" s="293"/>
      <c r="AK22" s="293"/>
    </row>
    <row r="23" spans="2:37">
      <c r="B23" s="291" t="s">
        <v>687</v>
      </c>
      <c r="C23" s="291"/>
      <c r="D23" s="291"/>
      <c r="E23" s="291"/>
      <c r="F23" s="291"/>
      <c r="G23" s="291"/>
      <c r="H23" s="291"/>
      <c r="I23" s="291"/>
      <c r="J23" s="291"/>
      <c r="K23" s="291"/>
      <c r="L23" s="291"/>
      <c r="M23" s="291"/>
      <c r="N23" s="291"/>
      <c r="O23" s="291"/>
      <c r="P23" s="291"/>
      <c r="Q23" s="291"/>
      <c r="R23" s="291"/>
      <c r="S23" s="291"/>
      <c r="T23" s="291"/>
      <c r="U23" s="291"/>
      <c r="V23" s="291"/>
      <c r="W23" s="291"/>
      <c r="X23" s="291"/>
      <c r="Y23" s="293"/>
      <c r="Z23" s="293"/>
      <c r="AA23" s="293"/>
      <c r="AB23" s="293"/>
      <c r="AC23" s="293"/>
      <c r="AD23" s="293"/>
      <c r="AE23" s="293"/>
      <c r="AF23" s="293"/>
      <c r="AG23" s="293"/>
      <c r="AH23" s="293"/>
      <c r="AI23" s="293"/>
      <c r="AJ23" s="293"/>
      <c r="AK23" s="293"/>
    </row>
    <row r="24" spans="2:37">
      <c r="B24" s="291" t="s">
        <v>688</v>
      </c>
      <c r="C24" s="291"/>
      <c r="D24" s="291"/>
      <c r="E24" s="291"/>
      <c r="F24" s="291"/>
      <c r="G24" s="291"/>
      <c r="H24" s="291"/>
      <c r="I24" s="291"/>
      <c r="J24" s="291"/>
      <c r="K24" s="291"/>
      <c r="L24" s="291"/>
      <c r="M24" s="291"/>
      <c r="N24" s="291"/>
      <c r="O24" s="291"/>
      <c r="P24" s="291"/>
      <c r="Q24" s="291"/>
      <c r="R24" s="291"/>
      <c r="S24" s="291"/>
      <c r="T24" s="291"/>
      <c r="U24" s="291"/>
      <c r="V24" s="291"/>
      <c r="W24" s="291"/>
      <c r="X24" s="291"/>
      <c r="Y24" s="293"/>
      <c r="Z24" s="293"/>
      <c r="AA24" s="293"/>
      <c r="AB24" s="293"/>
      <c r="AC24" s="293"/>
      <c r="AD24" s="293"/>
      <c r="AE24" s="293"/>
      <c r="AF24" s="293"/>
      <c r="AG24" s="293"/>
      <c r="AH24" s="293"/>
      <c r="AI24" s="293"/>
      <c r="AJ24" s="293"/>
      <c r="AK24" s="293"/>
    </row>
    <row r="25" spans="2:37">
      <c r="B25" s="291" t="s">
        <v>689</v>
      </c>
      <c r="C25" s="291"/>
      <c r="D25" s="291"/>
      <c r="E25" s="291"/>
      <c r="F25" s="291"/>
      <c r="G25" s="291"/>
      <c r="H25" s="291"/>
      <c r="I25" s="291"/>
      <c r="J25" s="291"/>
      <c r="K25" s="291"/>
      <c r="L25" s="291"/>
      <c r="M25" s="291"/>
      <c r="N25" s="291"/>
      <c r="O25" s="291"/>
      <c r="P25" s="291"/>
      <c r="Q25" s="291"/>
      <c r="R25" s="291"/>
      <c r="S25" s="291"/>
      <c r="T25" s="291"/>
      <c r="U25" s="291"/>
      <c r="V25" s="291"/>
      <c r="W25" s="291"/>
      <c r="X25" s="291"/>
      <c r="Y25" s="293"/>
      <c r="Z25" s="293"/>
      <c r="AA25" s="293"/>
      <c r="AB25" s="293"/>
      <c r="AC25" s="293"/>
      <c r="AD25" s="293"/>
      <c r="AE25" s="293"/>
      <c r="AF25" s="293"/>
      <c r="AG25" s="293"/>
      <c r="AH25" s="293"/>
      <c r="AI25" s="293"/>
      <c r="AJ25" s="293"/>
      <c r="AK25" s="293"/>
    </row>
    <row r="26" spans="2:37">
      <c r="B26" s="291" t="s">
        <v>690</v>
      </c>
      <c r="C26" s="291"/>
      <c r="D26" s="291"/>
      <c r="E26" s="291"/>
      <c r="F26" s="291"/>
      <c r="G26" s="291"/>
      <c r="H26" s="291"/>
      <c r="I26" s="291"/>
      <c r="J26" s="291"/>
      <c r="K26" s="291"/>
      <c r="L26" s="291"/>
      <c r="M26" s="291"/>
      <c r="N26" s="291"/>
      <c r="O26" s="291"/>
      <c r="P26" s="291"/>
      <c r="Q26" s="291"/>
      <c r="R26" s="291"/>
      <c r="S26" s="291"/>
      <c r="T26" s="291"/>
      <c r="U26" s="291"/>
      <c r="V26" s="291"/>
      <c r="W26" s="291"/>
      <c r="X26" s="291"/>
      <c r="Y26" s="293"/>
      <c r="Z26" s="293"/>
      <c r="AA26" s="293"/>
      <c r="AB26" s="293"/>
      <c r="AC26" s="293"/>
      <c r="AD26" s="293"/>
      <c r="AE26" s="293"/>
      <c r="AF26" s="293"/>
      <c r="AG26" s="293"/>
      <c r="AH26" s="293"/>
      <c r="AI26" s="293"/>
      <c r="AJ26" s="293"/>
      <c r="AK26" s="293"/>
    </row>
    <row r="27" spans="2:37">
      <c r="B27" s="291"/>
      <c r="C27" s="291" t="s">
        <v>691</v>
      </c>
      <c r="D27" s="291"/>
      <c r="E27" s="291"/>
      <c r="F27" s="291"/>
      <c r="G27" s="291"/>
      <c r="H27" s="291"/>
      <c r="I27" s="291"/>
      <c r="J27" s="291"/>
      <c r="K27" s="291"/>
      <c r="L27" s="291"/>
      <c r="M27" s="291"/>
      <c r="N27" s="291"/>
      <c r="O27" s="291"/>
      <c r="P27" s="291"/>
      <c r="Q27" s="291"/>
      <c r="R27" s="291"/>
      <c r="S27" s="291"/>
      <c r="T27" s="291"/>
      <c r="U27" s="291"/>
      <c r="V27" s="291"/>
      <c r="W27" s="291"/>
      <c r="X27" s="291"/>
      <c r="Y27" s="293"/>
      <c r="Z27" s="293"/>
      <c r="AA27" s="293"/>
      <c r="AB27" s="293"/>
      <c r="AC27" s="293"/>
      <c r="AD27" s="293"/>
      <c r="AE27" s="293"/>
      <c r="AF27" s="293"/>
      <c r="AG27" s="293"/>
      <c r="AH27" s="293"/>
      <c r="AI27" s="293"/>
      <c r="AJ27" s="293"/>
      <c r="AK27" s="293"/>
    </row>
    <row r="28" spans="2:37">
      <c r="B28" s="291" t="s">
        <v>692</v>
      </c>
      <c r="C28" s="291"/>
      <c r="D28" s="291"/>
      <c r="E28" s="291"/>
      <c r="F28" s="291"/>
      <c r="G28" s="291"/>
      <c r="H28" s="291"/>
      <c r="I28" s="291"/>
      <c r="J28" s="291"/>
      <c r="K28" s="291"/>
      <c r="L28" s="291"/>
      <c r="M28" s="291"/>
      <c r="N28" s="291"/>
      <c r="O28" s="291"/>
      <c r="P28" s="291"/>
      <c r="Q28" s="291"/>
      <c r="R28" s="291"/>
      <c r="S28" s="291"/>
      <c r="T28" s="291"/>
      <c r="U28" s="291"/>
      <c r="V28" s="291"/>
      <c r="W28" s="291"/>
      <c r="X28" s="291"/>
      <c r="Y28" s="293"/>
      <c r="Z28" s="293"/>
      <c r="AA28" s="293"/>
      <c r="AB28" s="293"/>
      <c r="AC28" s="293"/>
      <c r="AD28" s="293"/>
      <c r="AE28" s="293"/>
      <c r="AF28" s="293"/>
      <c r="AG28" s="293"/>
      <c r="AH28" s="293"/>
      <c r="AI28" s="293"/>
      <c r="AJ28" s="293"/>
      <c r="AK28" s="293"/>
    </row>
    <row r="29" spans="2:37">
      <c r="B29" s="291"/>
      <c r="C29" s="291" t="s">
        <v>693</v>
      </c>
      <c r="D29" s="291"/>
      <c r="E29" s="291"/>
      <c r="F29" s="291"/>
      <c r="G29" s="291"/>
      <c r="H29" s="291"/>
      <c r="I29" s="291"/>
      <c r="J29" s="291"/>
      <c r="K29" s="291"/>
      <c r="L29" s="291"/>
      <c r="M29" s="291"/>
      <c r="N29" s="291"/>
      <c r="O29" s="291"/>
      <c r="P29" s="291"/>
      <c r="Q29" s="291"/>
      <c r="R29" s="291"/>
      <c r="S29" s="291"/>
      <c r="T29" s="291"/>
      <c r="U29" s="291"/>
      <c r="V29" s="291"/>
      <c r="W29" s="291"/>
      <c r="X29" s="291"/>
      <c r="Y29" s="293"/>
      <c r="Z29" s="293"/>
      <c r="AA29" s="293"/>
      <c r="AB29" s="293"/>
      <c r="AC29" s="293"/>
      <c r="AD29" s="293"/>
      <c r="AE29" s="293"/>
      <c r="AF29" s="293"/>
      <c r="AG29" s="293"/>
      <c r="AH29" s="293"/>
      <c r="AI29" s="293"/>
      <c r="AJ29" s="293"/>
      <c r="AK29" s="293"/>
    </row>
    <row r="30" spans="2:37">
      <c r="B30" s="291"/>
      <c r="C30" s="291"/>
      <c r="D30" s="291"/>
      <c r="E30" s="291"/>
      <c r="F30" s="291"/>
      <c r="G30" s="291"/>
      <c r="H30" s="291"/>
      <c r="I30" s="291"/>
      <c r="J30" s="291"/>
      <c r="K30" s="291"/>
      <c r="L30" s="291"/>
      <c r="M30" s="291"/>
      <c r="N30" s="291"/>
      <c r="O30" s="291"/>
      <c r="P30" s="291"/>
      <c r="Q30" s="291"/>
      <c r="R30" s="291"/>
      <c r="S30" s="291"/>
      <c r="T30" s="291"/>
      <c r="U30" s="291"/>
      <c r="V30" s="291"/>
      <c r="W30" s="291"/>
      <c r="X30" s="291"/>
      <c r="Y30" s="293"/>
      <c r="Z30" s="293"/>
      <c r="AA30" s="293"/>
      <c r="AB30" s="293"/>
      <c r="AC30" s="293"/>
      <c r="AD30" s="293"/>
      <c r="AE30" s="293"/>
      <c r="AF30" s="293"/>
      <c r="AG30" s="293"/>
      <c r="AH30" s="293"/>
      <c r="AI30" s="293"/>
      <c r="AJ30" s="293"/>
      <c r="AK30" s="293"/>
    </row>
    <row r="31" spans="2:37">
      <c r="B31" s="291" t="s">
        <v>694</v>
      </c>
      <c r="C31" s="291"/>
      <c r="D31" s="291"/>
      <c r="E31" s="291"/>
      <c r="F31" s="291"/>
      <c r="G31" s="291"/>
      <c r="H31" s="291"/>
      <c r="I31" s="291"/>
      <c r="J31" s="291"/>
      <c r="K31" s="291"/>
      <c r="L31" s="291"/>
      <c r="M31" s="291"/>
      <c r="N31" s="291"/>
      <c r="O31" s="291"/>
      <c r="P31" s="291"/>
      <c r="Q31" s="291"/>
      <c r="R31" s="291"/>
      <c r="S31" s="291"/>
      <c r="T31" s="291"/>
      <c r="U31" s="291"/>
      <c r="V31" s="291"/>
      <c r="W31" s="291"/>
      <c r="X31" s="291"/>
      <c r="Y31" s="293"/>
      <c r="Z31" s="293"/>
      <c r="AA31" s="293"/>
      <c r="AB31" s="293"/>
      <c r="AC31" s="293"/>
      <c r="AD31" s="293"/>
      <c r="AE31" s="293"/>
      <c r="AF31" s="293"/>
      <c r="AG31" s="293"/>
      <c r="AH31" s="293"/>
      <c r="AI31" s="293"/>
      <c r="AJ31" s="293"/>
      <c r="AK31" s="293"/>
    </row>
    <row r="32" spans="2:37">
      <c r="B32" s="291"/>
      <c r="C32" s="291" t="s">
        <v>695</v>
      </c>
      <c r="D32" s="291"/>
      <c r="E32" s="291"/>
      <c r="F32" s="291"/>
      <c r="G32" s="291"/>
      <c r="H32" s="291"/>
      <c r="I32" s="291"/>
      <c r="J32" s="291"/>
      <c r="K32" s="291"/>
      <c r="L32" s="291"/>
      <c r="M32" s="291"/>
      <c r="N32" s="291"/>
      <c r="O32" s="291"/>
      <c r="P32" s="291"/>
      <c r="Q32" s="291"/>
      <c r="R32" s="291"/>
      <c r="S32" s="291"/>
      <c r="T32" s="291"/>
      <c r="U32" s="291"/>
      <c r="V32" s="291"/>
      <c r="W32" s="291"/>
      <c r="X32" s="291"/>
      <c r="Y32" s="293"/>
      <c r="Z32" s="293"/>
      <c r="AA32" s="293"/>
      <c r="AB32" s="293"/>
      <c r="AC32" s="293"/>
      <c r="AD32" s="293"/>
      <c r="AE32" s="293"/>
      <c r="AF32" s="293"/>
      <c r="AG32" s="293"/>
      <c r="AH32" s="293"/>
      <c r="AI32" s="293"/>
      <c r="AJ32" s="293"/>
      <c r="AK32" s="293"/>
    </row>
    <row r="33" spans="2:43">
      <c r="B33" s="291"/>
      <c r="C33" s="291" t="s">
        <v>696</v>
      </c>
      <c r="D33" s="291"/>
      <c r="E33" s="291"/>
      <c r="F33" s="291"/>
      <c r="G33" s="291"/>
      <c r="H33" s="291"/>
      <c r="I33" s="291"/>
      <c r="J33" s="291"/>
      <c r="K33" s="291"/>
      <c r="L33" s="291"/>
      <c r="M33" s="291"/>
      <c r="N33" s="291"/>
      <c r="O33" s="291"/>
      <c r="P33" s="291"/>
      <c r="Q33" s="291"/>
      <c r="R33" s="291"/>
      <c r="S33" s="291"/>
      <c r="T33" s="291"/>
      <c r="U33" s="291"/>
      <c r="V33" s="291"/>
      <c r="W33" s="291"/>
      <c r="X33" s="291"/>
      <c r="Y33" s="293"/>
      <c r="Z33" s="293"/>
      <c r="AA33" s="293"/>
      <c r="AB33" s="293"/>
      <c r="AC33" s="293"/>
      <c r="AD33" s="293"/>
      <c r="AE33" s="293"/>
      <c r="AF33" s="293"/>
      <c r="AG33" s="293"/>
      <c r="AH33" s="293"/>
      <c r="AI33" s="293"/>
      <c r="AJ33" s="293"/>
      <c r="AK33" s="293"/>
    </row>
    <row r="34" spans="2:43">
      <c r="B34" s="291"/>
      <c r="C34" s="291" t="s">
        <v>697</v>
      </c>
      <c r="D34" s="291"/>
      <c r="E34" s="291"/>
      <c r="F34" s="291"/>
      <c r="G34" s="291"/>
      <c r="H34" s="291"/>
      <c r="I34" s="291"/>
      <c r="J34" s="291"/>
      <c r="K34" s="291"/>
      <c r="L34" s="291"/>
      <c r="M34" s="291"/>
      <c r="N34" s="291"/>
      <c r="O34" s="291"/>
      <c r="P34" s="291"/>
      <c r="Q34" s="291"/>
      <c r="R34" s="291"/>
      <c r="S34" s="291"/>
      <c r="T34" s="291"/>
      <c r="U34" s="291"/>
      <c r="V34" s="291"/>
      <c r="W34" s="291"/>
      <c r="X34" s="291"/>
      <c r="Y34" s="293"/>
      <c r="Z34" s="293"/>
      <c r="AA34" s="293"/>
      <c r="AB34" s="293"/>
      <c r="AC34" s="293"/>
      <c r="AD34" s="293"/>
      <c r="AE34" s="293"/>
      <c r="AF34" s="293"/>
      <c r="AG34" s="293"/>
      <c r="AH34" s="293"/>
      <c r="AI34" s="293"/>
      <c r="AJ34" s="293"/>
      <c r="AK34" s="293"/>
    </row>
    <row r="35" spans="2:43">
      <c r="B35" s="291"/>
      <c r="C35" s="291" t="s">
        <v>698</v>
      </c>
      <c r="D35" s="291"/>
      <c r="E35" s="291"/>
      <c r="F35" s="291"/>
      <c r="G35" s="291"/>
      <c r="H35" s="291"/>
      <c r="I35" s="291"/>
      <c r="J35" s="291"/>
      <c r="K35" s="291"/>
      <c r="L35" s="291"/>
      <c r="M35" s="291"/>
      <c r="N35" s="291"/>
      <c r="O35" s="291"/>
      <c r="P35" s="291"/>
      <c r="Q35" s="291"/>
      <c r="R35" s="291"/>
      <c r="S35" s="291"/>
      <c r="T35" s="291"/>
      <c r="U35" s="291"/>
      <c r="V35" s="291"/>
      <c r="W35" s="291"/>
      <c r="X35" s="291"/>
      <c r="Y35" s="293"/>
      <c r="Z35" s="293"/>
      <c r="AA35" s="293"/>
      <c r="AB35" s="293"/>
      <c r="AC35" s="293"/>
      <c r="AD35" s="293"/>
      <c r="AE35" s="293"/>
      <c r="AF35" s="293"/>
      <c r="AG35" s="293"/>
      <c r="AH35" s="293"/>
      <c r="AI35" s="293"/>
      <c r="AJ35" s="293"/>
      <c r="AK35" s="293"/>
    </row>
    <row r="36" spans="2:43">
      <c r="B36" s="291" t="s">
        <v>699</v>
      </c>
      <c r="C36" s="291"/>
      <c r="D36" s="291"/>
      <c r="E36" s="291"/>
      <c r="F36" s="291"/>
      <c r="G36" s="291"/>
      <c r="H36" s="291"/>
      <c r="I36" s="291"/>
      <c r="J36" s="291"/>
      <c r="K36" s="291"/>
      <c r="L36" s="291"/>
      <c r="M36" s="291"/>
      <c r="N36" s="291"/>
      <c r="O36" s="291"/>
      <c r="P36" s="291"/>
      <c r="Q36" s="291"/>
      <c r="R36" s="291"/>
      <c r="S36" s="291"/>
      <c r="T36" s="291"/>
      <c r="U36" s="291"/>
      <c r="V36" s="291"/>
      <c r="W36" s="291"/>
      <c r="X36" s="291"/>
      <c r="Y36" s="293"/>
      <c r="Z36" s="293"/>
      <c r="AA36" s="293"/>
      <c r="AB36" s="293"/>
      <c r="AC36" s="293"/>
      <c r="AD36" s="293"/>
      <c r="AE36" s="293"/>
      <c r="AF36" s="293"/>
      <c r="AG36" s="293"/>
      <c r="AH36" s="293"/>
      <c r="AI36" s="293"/>
      <c r="AJ36" s="293"/>
      <c r="AK36" s="293"/>
    </row>
    <row r="37" spans="2:43">
      <c r="B37" s="291"/>
      <c r="C37" s="291" t="s">
        <v>700</v>
      </c>
      <c r="D37" s="291"/>
      <c r="E37" s="291"/>
      <c r="F37" s="291"/>
      <c r="G37" s="291"/>
      <c r="H37" s="291"/>
      <c r="I37" s="291"/>
      <c r="J37" s="291"/>
      <c r="K37" s="291"/>
      <c r="L37" s="291"/>
      <c r="M37" s="291"/>
      <c r="N37" s="291"/>
      <c r="O37" s="291"/>
      <c r="P37" s="291"/>
      <c r="Q37" s="291"/>
      <c r="R37" s="291"/>
      <c r="S37" s="291"/>
      <c r="T37" s="291"/>
      <c r="U37" s="291"/>
      <c r="V37" s="291"/>
      <c r="W37" s="291"/>
      <c r="X37" s="291"/>
      <c r="Y37" s="293"/>
      <c r="Z37" s="293"/>
      <c r="AA37" s="293"/>
      <c r="AB37" s="293"/>
      <c r="AC37" s="293"/>
      <c r="AD37" s="293"/>
      <c r="AE37" s="293"/>
      <c r="AF37" s="293"/>
      <c r="AG37" s="293"/>
      <c r="AH37" s="293"/>
      <c r="AI37" s="293"/>
      <c r="AJ37" s="293"/>
      <c r="AK37" s="293"/>
    </row>
    <row r="38" spans="2:43">
      <c r="B38" s="291"/>
      <c r="C38" s="291" t="s">
        <v>701</v>
      </c>
      <c r="D38" s="291"/>
      <c r="E38" s="291"/>
      <c r="F38" s="291"/>
      <c r="G38" s="291"/>
      <c r="H38" s="291"/>
      <c r="I38" s="291"/>
      <c r="J38" s="291"/>
      <c r="K38" s="291"/>
      <c r="L38" s="291"/>
      <c r="M38" s="291"/>
      <c r="N38" s="291"/>
      <c r="O38" s="291"/>
      <c r="P38" s="291"/>
      <c r="Q38" s="291"/>
      <c r="R38" s="291"/>
      <c r="S38" s="291"/>
      <c r="T38" s="291"/>
      <c r="U38" s="291"/>
      <c r="V38" s="291"/>
      <c r="W38" s="291"/>
      <c r="X38" s="291"/>
      <c r="Y38" s="293"/>
      <c r="Z38" s="293"/>
      <c r="AA38" s="293"/>
      <c r="AB38" s="293"/>
      <c r="AC38" s="293"/>
      <c r="AD38" s="293"/>
      <c r="AE38" s="293"/>
      <c r="AF38" s="293"/>
      <c r="AG38" s="293"/>
      <c r="AH38" s="293"/>
      <c r="AI38" s="293"/>
      <c r="AJ38" s="293"/>
      <c r="AK38" s="293"/>
    </row>
    <row r="39" spans="2:43">
      <c r="B39" s="291"/>
      <c r="C39" s="291" t="s">
        <v>702</v>
      </c>
      <c r="D39" s="291"/>
      <c r="E39" s="291"/>
      <c r="F39" s="291"/>
      <c r="G39" s="291"/>
      <c r="H39" s="291"/>
      <c r="I39" s="291"/>
      <c r="J39" s="291"/>
      <c r="K39" s="291"/>
      <c r="L39" s="291"/>
      <c r="M39" s="291"/>
      <c r="N39" s="291"/>
      <c r="O39" s="291"/>
      <c r="P39" s="291"/>
      <c r="Q39" s="291"/>
      <c r="R39" s="291"/>
      <c r="S39" s="291"/>
      <c r="T39" s="291"/>
      <c r="U39" s="291"/>
      <c r="V39" s="291"/>
      <c r="W39" s="291"/>
      <c r="X39" s="291"/>
      <c r="Y39" s="293"/>
      <c r="Z39" s="293"/>
      <c r="AA39" s="293"/>
      <c r="AB39" s="293"/>
      <c r="AC39" s="293"/>
      <c r="AD39" s="293"/>
      <c r="AE39" s="293"/>
      <c r="AF39" s="293"/>
      <c r="AG39" s="293"/>
      <c r="AH39" s="293"/>
      <c r="AI39" s="293"/>
      <c r="AJ39" s="293"/>
      <c r="AK39" s="293"/>
    </row>
    <row r="40" spans="2:43">
      <c r="B40" s="291"/>
      <c r="C40" s="291"/>
      <c r="D40" s="291"/>
      <c r="E40" s="291"/>
      <c r="F40" s="291"/>
      <c r="G40" s="291"/>
      <c r="H40" s="291"/>
      <c r="I40" s="291"/>
      <c r="J40" s="291"/>
      <c r="K40" s="291"/>
      <c r="L40" s="291"/>
      <c r="M40" s="291"/>
      <c r="N40" s="291"/>
      <c r="O40" s="291"/>
      <c r="P40" s="291"/>
      <c r="Q40" s="291"/>
      <c r="R40" s="291"/>
      <c r="S40" s="291"/>
      <c r="T40" s="291"/>
      <c r="U40" s="291"/>
      <c r="V40" s="291"/>
      <c r="W40" s="291"/>
      <c r="X40" s="291"/>
      <c r="Y40" s="293"/>
      <c r="Z40" s="293"/>
      <c r="AA40" s="293"/>
      <c r="AB40" s="293"/>
      <c r="AC40" s="293"/>
      <c r="AD40" s="293"/>
      <c r="AE40" s="293"/>
      <c r="AF40" s="293"/>
      <c r="AG40" s="293"/>
      <c r="AH40" s="293"/>
      <c r="AI40" s="293"/>
      <c r="AJ40" s="293"/>
      <c r="AK40" s="293"/>
    </row>
    <row r="41" spans="2:43">
      <c r="B41" s="294" t="s">
        <v>703</v>
      </c>
      <c r="C41" s="295"/>
      <c r="D41" s="295"/>
      <c r="E41" s="295"/>
      <c r="F41" s="295"/>
      <c r="G41" s="295"/>
      <c r="H41" s="295"/>
      <c r="I41" s="295"/>
      <c r="J41" s="295"/>
      <c r="K41" s="295"/>
      <c r="L41" s="295"/>
      <c r="M41" s="296" t="s">
        <v>704</v>
      </c>
      <c r="N41" s="297"/>
      <c r="O41" s="297"/>
      <c r="P41" s="297"/>
      <c r="Q41" s="297"/>
      <c r="R41" s="297"/>
      <c r="S41" s="297"/>
      <c r="T41" s="297"/>
      <c r="U41" s="297"/>
      <c r="V41" s="297"/>
      <c r="W41" s="297"/>
      <c r="X41" s="297"/>
      <c r="Y41" s="298" t="s">
        <v>705</v>
      </c>
      <c r="Z41" s="299"/>
      <c r="AA41" s="299"/>
      <c r="AB41" s="299"/>
      <c r="AC41" s="299"/>
      <c r="AD41" s="299"/>
      <c r="AE41" s="299"/>
      <c r="AF41" s="299"/>
      <c r="AG41" s="299"/>
      <c r="AH41" s="299"/>
      <c r="AI41" s="299"/>
      <c r="AJ41" s="299"/>
      <c r="AK41" s="299"/>
      <c r="AL41" s="299"/>
      <c r="AM41" s="299"/>
      <c r="AN41" s="299"/>
      <c r="AO41" s="299"/>
      <c r="AP41" s="299"/>
      <c r="AQ41" s="299"/>
    </row>
    <row r="42" spans="2:43">
      <c r="B42" s="295"/>
      <c r="C42" s="295"/>
      <c r="D42" s="295"/>
      <c r="E42" s="295"/>
      <c r="F42" s="295"/>
      <c r="G42" s="295"/>
      <c r="H42" s="295"/>
      <c r="I42" s="295"/>
      <c r="J42" s="295"/>
      <c r="K42" s="295"/>
      <c r="L42" s="295"/>
      <c r="M42" s="297" t="s">
        <v>706</v>
      </c>
      <c r="N42" s="297"/>
      <c r="O42" s="297"/>
      <c r="P42" s="297"/>
      <c r="Q42" s="297"/>
      <c r="R42" s="297"/>
      <c r="S42" s="297"/>
      <c r="T42" s="297"/>
      <c r="U42" s="297"/>
      <c r="V42" s="297"/>
      <c r="W42" s="297"/>
      <c r="X42" s="297"/>
      <c r="Y42" s="299" t="s">
        <v>707</v>
      </c>
      <c r="Z42" s="299"/>
      <c r="AA42" s="299"/>
      <c r="AB42" s="299"/>
      <c r="AC42" s="299"/>
      <c r="AD42" s="299"/>
      <c r="AE42" s="299"/>
      <c r="AF42" s="299"/>
      <c r="AG42" s="299"/>
      <c r="AH42" s="299"/>
      <c r="AI42" s="299"/>
      <c r="AJ42" s="299"/>
      <c r="AK42" s="299"/>
      <c r="AL42" s="299"/>
      <c r="AM42" s="299"/>
      <c r="AN42" s="299"/>
      <c r="AO42" s="299"/>
      <c r="AP42" s="299"/>
      <c r="AQ42" s="299"/>
    </row>
    <row r="43" spans="2:43">
      <c r="B43" s="295"/>
      <c r="C43" s="294" t="s">
        <v>657</v>
      </c>
      <c r="D43" s="295" t="s">
        <v>708</v>
      </c>
      <c r="E43" s="295"/>
      <c r="F43" s="295"/>
      <c r="G43" s="295"/>
      <c r="H43" s="295"/>
      <c r="I43" s="295"/>
      <c r="J43" s="295"/>
      <c r="K43" s="295"/>
      <c r="L43" s="295"/>
      <c r="M43" s="300">
        <v>0.5</v>
      </c>
      <c r="N43" s="297" t="s">
        <v>709</v>
      </c>
      <c r="O43" s="297"/>
      <c r="P43" s="297"/>
      <c r="Q43" s="297"/>
      <c r="R43" s="297"/>
      <c r="S43" s="297"/>
      <c r="T43" s="297"/>
      <c r="U43" s="297"/>
      <c r="V43" s="297"/>
      <c r="W43" s="297"/>
      <c r="X43" s="297"/>
      <c r="Y43" s="299"/>
      <c r="Z43" s="299" t="s">
        <v>710</v>
      </c>
      <c r="AA43" s="299"/>
      <c r="AB43" s="299"/>
      <c r="AC43" s="299"/>
      <c r="AD43" s="299"/>
      <c r="AE43" s="299"/>
      <c r="AF43" s="299"/>
      <c r="AG43" s="299"/>
      <c r="AH43" s="299"/>
      <c r="AI43" s="299"/>
      <c r="AJ43" s="299"/>
      <c r="AK43" s="299"/>
      <c r="AL43" s="299"/>
      <c r="AM43" s="299"/>
      <c r="AN43" s="299"/>
      <c r="AO43" s="299"/>
      <c r="AP43" s="299"/>
      <c r="AQ43" s="299"/>
    </row>
    <row r="44" spans="2:43">
      <c r="B44" s="295" t="s">
        <v>646</v>
      </c>
      <c r="C44" s="301" t="s">
        <v>711</v>
      </c>
      <c r="D44" s="295"/>
      <c r="E44" s="295"/>
      <c r="F44" s="294" t="s">
        <v>712</v>
      </c>
      <c r="G44" s="295"/>
      <c r="H44" s="295"/>
      <c r="I44" s="294" t="s">
        <v>713</v>
      </c>
      <c r="J44" s="295"/>
      <c r="K44" s="295"/>
      <c r="L44" s="295"/>
      <c r="M44" s="297"/>
      <c r="N44" s="297" t="s">
        <v>714</v>
      </c>
      <c r="O44" s="297"/>
      <c r="P44" s="297"/>
      <c r="Q44" s="297"/>
      <c r="R44" s="297"/>
      <c r="S44" s="297"/>
      <c r="T44" s="297"/>
      <c r="U44" s="297"/>
      <c r="V44" s="297"/>
      <c r="W44" s="297"/>
      <c r="X44" s="297"/>
      <c r="Y44" s="299"/>
      <c r="Z44" s="299"/>
      <c r="AA44" s="299" t="s">
        <v>715</v>
      </c>
      <c r="AB44" s="299"/>
      <c r="AC44" s="299"/>
      <c r="AD44" s="299"/>
      <c r="AE44" s="299"/>
      <c r="AF44" s="299"/>
      <c r="AG44" s="299"/>
      <c r="AH44" s="299"/>
      <c r="AI44" s="299"/>
      <c r="AJ44" s="299"/>
      <c r="AK44" s="299"/>
      <c r="AL44" s="299"/>
      <c r="AM44" s="299"/>
      <c r="AN44" s="299"/>
      <c r="AO44" s="299"/>
      <c r="AP44" s="299"/>
      <c r="AQ44" s="299"/>
    </row>
    <row r="45" spans="2:43">
      <c r="B45" s="295" t="s">
        <v>653</v>
      </c>
      <c r="C45" s="301" t="s">
        <v>716</v>
      </c>
      <c r="D45" s="294" t="s">
        <v>656</v>
      </c>
      <c r="E45" s="302"/>
      <c r="F45" s="303">
        <v>0.48</v>
      </c>
      <c r="G45" s="295"/>
      <c r="H45" s="294" t="s">
        <v>717</v>
      </c>
      <c r="I45" s="304">
        <v>0.31</v>
      </c>
      <c r="J45" s="295"/>
      <c r="K45" s="295"/>
      <c r="L45" s="295"/>
      <c r="M45" s="297"/>
      <c r="N45" s="297" t="s">
        <v>646</v>
      </c>
      <c r="O45" s="305" t="s">
        <v>718</v>
      </c>
      <c r="P45" s="297"/>
      <c r="Q45" s="297"/>
      <c r="R45" s="297"/>
      <c r="S45" s="297"/>
      <c r="T45" s="297"/>
      <c r="U45" s="297"/>
      <c r="V45" s="297"/>
      <c r="W45" s="297"/>
      <c r="X45" s="297"/>
      <c r="Y45" s="299"/>
      <c r="Z45" s="299"/>
      <c r="AA45" s="299" t="s">
        <v>719</v>
      </c>
      <c r="AB45" s="299"/>
      <c r="AC45" s="299"/>
      <c r="AD45" s="299"/>
      <c r="AE45" s="299"/>
      <c r="AF45" s="299"/>
      <c r="AG45" s="299"/>
      <c r="AH45" s="299"/>
      <c r="AI45" s="299"/>
      <c r="AJ45" s="299"/>
      <c r="AK45" s="299"/>
      <c r="AL45" s="299"/>
      <c r="AM45" s="299"/>
      <c r="AN45" s="299"/>
      <c r="AO45" s="299"/>
      <c r="AP45" s="299"/>
      <c r="AQ45" s="299"/>
    </row>
    <row r="46" spans="2:43">
      <c r="B46" s="295" t="s">
        <v>658</v>
      </c>
      <c r="C46" s="306">
        <f>822/4963</f>
        <v>0.16562562965948016</v>
      </c>
      <c r="D46" s="294" t="s">
        <v>720</v>
      </c>
      <c r="E46" s="302"/>
      <c r="F46" s="303">
        <v>0.38</v>
      </c>
      <c r="G46" s="295"/>
      <c r="H46" s="294" t="s">
        <v>667</v>
      </c>
      <c r="I46" s="304">
        <v>0.22</v>
      </c>
      <c r="J46" s="295"/>
      <c r="K46" s="295"/>
      <c r="L46" s="295"/>
      <c r="M46" s="297"/>
      <c r="N46" s="297" t="s">
        <v>653</v>
      </c>
      <c r="O46" s="305" t="s">
        <v>721</v>
      </c>
      <c r="P46" s="297"/>
      <c r="Q46" s="297"/>
      <c r="R46" s="297"/>
      <c r="S46" s="297"/>
      <c r="T46" s="297"/>
      <c r="U46" s="297"/>
      <c r="V46" s="297"/>
      <c r="W46" s="297"/>
      <c r="X46" s="297"/>
      <c r="Y46" s="299"/>
      <c r="Z46" s="299"/>
      <c r="AA46" s="299"/>
      <c r="AB46" s="299" t="s">
        <v>722</v>
      </c>
      <c r="AC46" s="299"/>
      <c r="AD46" s="299"/>
      <c r="AE46" s="299"/>
      <c r="AF46" s="299"/>
      <c r="AG46" s="299"/>
      <c r="AH46" s="299"/>
      <c r="AI46" s="299"/>
      <c r="AJ46" s="299"/>
      <c r="AK46" s="299"/>
      <c r="AL46" s="299"/>
      <c r="AM46" s="299"/>
      <c r="AN46" s="299"/>
      <c r="AO46" s="299"/>
      <c r="AP46" s="299"/>
      <c r="AQ46" s="299"/>
    </row>
    <row r="47" spans="2:43">
      <c r="B47" s="295" t="s">
        <v>723</v>
      </c>
      <c r="C47" s="301" t="s">
        <v>724</v>
      </c>
      <c r="D47" s="294" t="s">
        <v>725</v>
      </c>
      <c r="E47" s="302"/>
      <c r="F47" s="303">
        <v>0.11</v>
      </c>
      <c r="G47" s="295"/>
      <c r="H47" s="294" t="s">
        <v>670</v>
      </c>
      <c r="I47" s="304">
        <v>0.2</v>
      </c>
      <c r="J47" s="295"/>
      <c r="K47" s="295"/>
      <c r="L47" s="295"/>
      <c r="M47" s="297"/>
      <c r="N47" s="297" t="s">
        <v>658</v>
      </c>
      <c r="O47" s="307">
        <f>57/418</f>
        <v>0.13636363636363635</v>
      </c>
      <c r="P47" s="297"/>
      <c r="Q47" s="297"/>
      <c r="R47" s="297"/>
      <c r="S47" s="297"/>
      <c r="T47" s="297"/>
      <c r="U47" s="297"/>
      <c r="V47" s="297"/>
      <c r="W47" s="297"/>
      <c r="X47" s="297"/>
      <c r="Y47" s="299"/>
      <c r="Z47" s="299"/>
      <c r="AA47" s="299"/>
      <c r="AB47" s="299" t="s">
        <v>726</v>
      </c>
      <c r="AC47" s="299"/>
      <c r="AD47" s="299"/>
      <c r="AE47" s="299"/>
      <c r="AF47" s="299"/>
      <c r="AG47" s="299"/>
      <c r="AH47" s="299"/>
      <c r="AI47" s="299"/>
      <c r="AJ47" s="299"/>
      <c r="AK47" s="299"/>
      <c r="AL47" s="299"/>
      <c r="AM47" s="299"/>
      <c r="AN47" s="299"/>
      <c r="AO47" s="299"/>
      <c r="AP47" s="299"/>
      <c r="AQ47" s="299"/>
    </row>
    <row r="48" spans="2:43">
      <c r="B48" s="295"/>
      <c r="C48" s="295"/>
      <c r="D48" s="294" t="s">
        <v>727</v>
      </c>
      <c r="E48" s="302"/>
      <c r="F48" s="303">
        <v>0.03</v>
      </c>
      <c r="G48" s="295"/>
      <c r="H48" s="294" t="s">
        <v>728</v>
      </c>
      <c r="I48" s="304">
        <v>0.22</v>
      </c>
      <c r="J48" s="295"/>
      <c r="K48" s="295"/>
      <c r="L48" s="295"/>
      <c r="M48" s="297"/>
      <c r="N48" s="297"/>
      <c r="O48" s="297"/>
      <c r="P48" s="297"/>
      <c r="Q48" s="297"/>
      <c r="R48" s="297"/>
      <c r="S48" s="297"/>
      <c r="T48" s="297"/>
      <c r="U48" s="297"/>
      <c r="V48" s="297"/>
      <c r="W48" s="297"/>
      <c r="X48" s="297"/>
      <c r="Y48" s="299"/>
      <c r="Z48" s="299"/>
      <c r="AA48" s="299"/>
      <c r="AB48" s="299" t="s">
        <v>729</v>
      </c>
      <c r="AC48" s="299"/>
      <c r="AD48" s="299"/>
      <c r="AE48" s="299"/>
      <c r="AF48" s="299"/>
      <c r="AG48" s="299"/>
      <c r="AH48" s="299"/>
      <c r="AI48" s="299"/>
      <c r="AJ48" s="299"/>
      <c r="AK48" s="299"/>
      <c r="AL48" s="299"/>
      <c r="AM48" s="299"/>
      <c r="AN48" s="299"/>
      <c r="AO48" s="299"/>
      <c r="AP48" s="299"/>
      <c r="AQ48" s="299"/>
    </row>
    <row r="49" spans="2:43">
      <c r="B49" s="295"/>
      <c r="C49" s="295"/>
      <c r="D49" s="295"/>
      <c r="E49" s="295"/>
      <c r="F49" s="303">
        <f>SUM(F45:F48)</f>
        <v>1</v>
      </c>
      <c r="G49" s="295"/>
      <c r="H49" s="294" t="s">
        <v>679</v>
      </c>
      <c r="I49" s="304">
        <v>0.05</v>
      </c>
      <c r="J49" s="295"/>
      <c r="K49" s="295"/>
      <c r="L49" s="295"/>
      <c r="M49" s="297" t="s">
        <v>730</v>
      </c>
      <c r="N49" s="297"/>
      <c r="O49" s="297"/>
      <c r="P49" s="297"/>
      <c r="Q49" s="297"/>
      <c r="R49" s="297"/>
      <c r="S49" s="297"/>
      <c r="T49" s="297"/>
      <c r="U49" s="297"/>
      <c r="V49" s="297"/>
      <c r="W49" s="297"/>
      <c r="X49" s="297"/>
      <c r="Y49" s="299"/>
      <c r="Z49" s="299"/>
      <c r="AA49" s="299"/>
      <c r="AB49" s="299"/>
      <c r="AC49" s="299"/>
      <c r="AD49" s="299"/>
      <c r="AE49" s="299"/>
      <c r="AF49" s="299"/>
      <c r="AG49" s="299"/>
      <c r="AH49" s="299"/>
      <c r="AI49" s="299"/>
      <c r="AJ49" s="299"/>
      <c r="AK49" s="299"/>
      <c r="AL49" s="299"/>
      <c r="AM49" s="299"/>
      <c r="AN49" s="299"/>
      <c r="AO49" s="299"/>
      <c r="AP49" s="299"/>
      <c r="AQ49" s="299"/>
    </row>
    <row r="50" spans="2:43">
      <c r="B50" s="295"/>
      <c r="C50" s="295"/>
      <c r="D50" s="295"/>
      <c r="E50" s="295"/>
      <c r="F50" s="295"/>
      <c r="G50" s="295"/>
      <c r="H50" s="295"/>
      <c r="I50" s="304">
        <f>SUM(I45:I49)</f>
        <v>1</v>
      </c>
      <c r="J50" s="295"/>
      <c r="K50" s="295"/>
      <c r="L50" s="295"/>
      <c r="M50" s="300">
        <v>0.49</v>
      </c>
      <c r="N50" s="297" t="s">
        <v>731</v>
      </c>
      <c r="O50" s="297"/>
      <c r="P50" s="297"/>
      <c r="Q50" s="297"/>
      <c r="R50" s="297"/>
      <c r="S50" s="297"/>
      <c r="T50" s="297"/>
      <c r="U50" s="297"/>
      <c r="V50" s="297"/>
      <c r="W50" s="297"/>
      <c r="X50" s="297"/>
      <c r="Y50" s="299"/>
      <c r="Z50" s="299"/>
      <c r="AA50" s="299"/>
      <c r="AB50" s="299"/>
      <c r="AC50" s="299"/>
      <c r="AD50" s="299"/>
      <c r="AE50" s="299"/>
      <c r="AF50" s="299"/>
      <c r="AG50" s="299"/>
      <c r="AH50" s="299"/>
      <c r="AI50" s="299"/>
      <c r="AJ50" s="299"/>
      <c r="AK50" s="299"/>
      <c r="AL50" s="299"/>
      <c r="AM50" s="299"/>
      <c r="AN50" s="299"/>
      <c r="AO50" s="299"/>
      <c r="AP50" s="299"/>
      <c r="AQ50" s="299"/>
    </row>
    <row r="51" spans="2:43">
      <c r="B51" s="295" t="s">
        <v>732</v>
      </c>
      <c r="C51" s="295"/>
      <c r="D51" s="295"/>
      <c r="E51" s="295"/>
      <c r="F51" s="295"/>
      <c r="G51" s="295"/>
      <c r="H51" s="295"/>
      <c r="I51" s="295"/>
      <c r="J51" s="295"/>
      <c r="K51" s="295"/>
      <c r="L51" s="295"/>
      <c r="M51" s="297"/>
      <c r="N51" s="297" t="s">
        <v>646</v>
      </c>
      <c r="O51" s="305" t="s">
        <v>733</v>
      </c>
      <c r="P51" s="297"/>
      <c r="Q51" s="297"/>
      <c r="R51" s="297"/>
      <c r="S51" s="297"/>
      <c r="T51" s="297"/>
      <c r="U51" s="297"/>
      <c r="V51" s="297"/>
      <c r="W51" s="297"/>
      <c r="X51" s="297"/>
      <c r="Y51" s="299"/>
      <c r="Z51" s="299"/>
      <c r="AA51" s="299"/>
      <c r="AB51" s="299"/>
      <c r="AC51" s="299"/>
      <c r="AD51" s="299"/>
      <c r="AE51" s="299"/>
      <c r="AF51" s="299"/>
      <c r="AG51" s="299"/>
      <c r="AH51" s="299"/>
      <c r="AI51" s="299"/>
      <c r="AJ51" s="299"/>
      <c r="AK51" s="299"/>
      <c r="AL51" s="299"/>
      <c r="AM51" s="299"/>
      <c r="AN51" s="299"/>
      <c r="AO51" s="299"/>
      <c r="AP51" s="299"/>
      <c r="AQ51" s="299"/>
    </row>
    <row r="52" spans="2:43">
      <c r="B52" s="295" t="s">
        <v>734</v>
      </c>
      <c r="C52" s="295"/>
      <c r="D52" s="295"/>
      <c r="E52" s="295"/>
      <c r="F52" s="295"/>
      <c r="G52" s="295"/>
      <c r="H52" s="295"/>
      <c r="I52" s="295"/>
      <c r="J52" s="295"/>
      <c r="K52" s="295"/>
      <c r="L52" s="295"/>
      <c r="M52" s="297"/>
      <c r="N52" s="297" t="s">
        <v>653</v>
      </c>
      <c r="O52" s="305" t="s">
        <v>735</v>
      </c>
      <c r="P52" s="297"/>
      <c r="Q52" s="297"/>
      <c r="R52" s="297"/>
      <c r="S52" s="297"/>
      <c r="T52" s="297"/>
      <c r="U52" s="297"/>
      <c r="V52" s="297"/>
      <c r="W52" s="297"/>
      <c r="X52" s="297"/>
      <c r="Y52" s="299"/>
      <c r="Z52" s="299"/>
      <c r="AA52" s="299"/>
      <c r="AB52" s="299"/>
      <c r="AC52" s="299"/>
      <c r="AD52" s="299"/>
      <c r="AE52" s="299"/>
      <c r="AF52" s="299"/>
      <c r="AG52" s="299"/>
      <c r="AH52" s="299"/>
      <c r="AI52" s="299"/>
      <c r="AJ52" s="299"/>
      <c r="AK52" s="299"/>
      <c r="AL52" s="299"/>
      <c r="AM52" s="299"/>
      <c r="AN52" s="299"/>
      <c r="AO52" s="299"/>
      <c r="AP52" s="299"/>
      <c r="AQ52" s="299"/>
    </row>
    <row r="53" spans="2:43">
      <c r="B53" s="295" t="s">
        <v>736</v>
      </c>
      <c r="C53" s="295"/>
      <c r="D53" s="295"/>
      <c r="E53" s="295"/>
      <c r="F53" s="295"/>
      <c r="G53" s="295"/>
      <c r="H53" s="295"/>
      <c r="I53" s="295"/>
      <c r="J53" s="295"/>
      <c r="K53" s="295"/>
      <c r="L53" s="295"/>
      <c r="M53" s="297"/>
      <c r="N53" s="297" t="s">
        <v>658</v>
      </c>
      <c r="O53" s="307">
        <f>366/1621</f>
        <v>0.22578655151141272</v>
      </c>
      <c r="P53" s="297"/>
      <c r="Q53" s="297"/>
      <c r="R53" s="297"/>
      <c r="S53" s="297"/>
      <c r="T53" s="297"/>
      <c r="U53" s="297"/>
      <c r="V53" s="297"/>
      <c r="W53" s="297"/>
      <c r="X53" s="297"/>
      <c r="Y53" s="299"/>
      <c r="Z53" s="299"/>
      <c r="AA53" s="299"/>
      <c r="AB53" s="299"/>
      <c r="AC53" s="299"/>
      <c r="AD53" s="299"/>
      <c r="AE53" s="299"/>
      <c r="AF53" s="299"/>
      <c r="AG53" s="299"/>
      <c r="AH53" s="299"/>
      <c r="AI53" s="299"/>
      <c r="AJ53" s="299"/>
      <c r="AK53" s="299"/>
      <c r="AL53" s="299"/>
      <c r="AM53" s="299"/>
      <c r="AN53" s="299"/>
      <c r="AO53" s="299"/>
      <c r="AP53" s="299"/>
      <c r="AQ53" s="299"/>
    </row>
    <row r="54" spans="2:43">
      <c r="B54" s="295" t="s">
        <v>737</v>
      </c>
      <c r="C54" s="295"/>
      <c r="D54" s="295"/>
      <c r="E54" s="295"/>
      <c r="F54" s="295"/>
      <c r="G54" s="295"/>
      <c r="H54" s="295"/>
      <c r="I54" s="295"/>
      <c r="J54" s="295"/>
      <c r="K54" s="295"/>
      <c r="L54" s="295"/>
      <c r="M54" s="297"/>
      <c r="N54" s="297"/>
      <c r="O54" s="297"/>
      <c r="P54" s="297"/>
      <c r="Q54" s="297"/>
      <c r="R54" s="297"/>
      <c r="S54" s="297"/>
      <c r="T54" s="297"/>
      <c r="U54" s="297"/>
      <c r="V54" s="297"/>
      <c r="W54" s="297"/>
      <c r="X54" s="297"/>
      <c r="Y54" s="299"/>
      <c r="Z54" s="299"/>
      <c r="AA54" s="299"/>
      <c r="AB54" s="299"/>
      <c r="AC54" s="299"/>
      <c r="AD54" s="299"/>
      <c r="AE54" s="299"/>
      <c r="AF54" s="299"/>
      <c r="AG54" s="299"/>
      <c r="AH54" s="299"/>
      <c r="AI54" s="299"/>
      <c r="AJ54" s="299"/>
      <c r="AK54" s="299"/>
      <c r="AL54" s="299"/>
      <c r="AM54" s="299"/>
      <c r="AN54" s="299"/>
      <c r="AO54" s="299"/>
      <c r="AP54" s="299"/>
      <c r="AQ54" s="299"/>
    </row>
    <row r="55" spans="2:43">
      <c r="B55" s="295"/>
      <c r="C55" s="295" t="s">
        <v>738</v>
      </c>
      <c r="D55" s="295"/>
      <c r="E55" s="295"/>
      <c r="F55" s="295"/>
      <c r="G55" s="295"/>
      <c r="H55" s="295"/>
      <c r="I55" s="295"/>
      <c r="J55" s="295"/>
      <c r="K55" s="295"/>
      <c r="L55" s="295"/>
      <c r="M55" s="297" t="s">
        <v>739</v>
      </c>
      <c r="N55" s="297"/>
      <c r="O55" s="297"/>
      <c r="P55" s="297"/>
      <c r="Q55" s="297"/>
      <c r="R55" s="297"/>
      <c r="S55" s="297"/>
      <c r="T55" s="297"/>
      <c r="U55" s="297"/>
      <c r="V55" s="297"/>
      <c r="W55" s="297"/>
      <c r="X55" s="297"/>
      <c r="Y55" s="299"/>
      <c r="Z55" s="299"/>
      <c r="AA55" s="299"/>
      <c r="AB55" s="299"/>
      <c r="AC55" s="299"/>
      <c r="AD55" s="299"/>
      <c r="AE55" s="299"/>
      <c r="AF55" s="299"/>
      <c r="AG55" s="299"/>
      <c r="AH55" s="299"/>
      <c r="AI55" s="299"/>
      <c r="AJ55" s="299"/>
      <c r="AK55" s="299"/>
      <c r="AL55" s="299"/>
      <c r="AM55" s="299"/>
      <c r="AN55" s="299"/>
      <c r="AO55" s="299"/>
      <c r="AP55" s="299"/>
      <c r="AQ55" s="299"/>
    </row>
    <row r="56" spans="2:43">
      <c r="B56" s="295"/>
      <c r="C56" s="295"/>
      <c r="D56" s="295"/>
      <c r="E56" s="295"/>
      <c r="F56" s="295"/>
      <c r="G56" s="295"/>
      <c r="H56" s="295"/>
      <c r="I56" s="295"/>
      <c r="J56" s="295"/>
      <c r="K56" s="295"/>
      <c r="L56" s="295"/>
      <c r="M56" s="300">
        <v>0.35</v>
      </c>
      <c r="N56" s="297" t="s">
        <v>740</v>
      </c>
      <c r="O56" s="297"/>
      <c r="P56" s="297"/>
      <c r="Q56" s="297"/>
      <c r="R56" s="297"/>
      <c r="S56" s="297"/>
      <c r="T56" s="297"/>
      <c r="U56" s="297"/>
      <c r="V56" s="297"/>
      <c r="W56" s="297"/>
      <c r="X56" s="297"/>
      <c r="Y56" s="299"/>
      <c r="Z56" s="299"/>
      <c r="AA56" s="299"/>
      <c r="AB56" s="299"/>
      <c r="AC56" s="299"/>
      <c r="AD56" s="299"/>
      <c r="AE56" s="299"/>
      <c r="AF56" s="299"/>
      <c r="AG56" s="299"/>
      <c r="AH56" s="299"/>
      <c r="AI56" s="299"/>
      <c r="AJ56" s="299"/>
      <c r="AK56" s="299"/>
      <c r="AL56" s="299"/>
      <c r="AM56" s="299"/>
      <c r="AN56" s="299"/>
      <c r="AO56" s="299"/>
      <c r="AP56" s="299"/>
      <c r="AQ56" s="299"/>
    </row>
    <row r="57" spans="2:43">
      <c r="B57" s="295"/>
      <c r="C57" s="295"/>
      <c r="D57" s="294" t="s">
        <v>741</v>
      </c>
      <c r="E57" s="295"/>
      <c r="F57" s="295"/>
      <c r="G57" s="295"/>
      <c r="H57" s="295"/>
      <c r="I57" s="295"/>
      <c r="J57" s="295"/>
      <c r="K57" s="295"/>
      <c r="L57" s="295"/>
      <c r="M57" s="297"/>
      <c r="N57" s="297" t="s">
        <v>646</v>
      </c>
      <c r="O57" s="305" t="s">
        <v>742</v>
      </c>
      <c r="P57" s="297"/>
      <c r="Q57" s="297"/>
      <c r="R57" s="297"/>
      <c r="S57" s="297"/>
      <c r="T57" s="297"/>
      <c r="U57" s="297"/>
      <c r="V57" s="297"/>
      <c r="W57" s="297"/>
      <c r="X57" s="297"/>
      <c r="Y57" s="299"/>
      <c r="Z57" s="299"/>
      <c r="AA57" s="299"/>
      <c r="AB57" s="299"/>
      <c r="AC57" s="299"/>
      <c r="AD57" s="299"/>
      <c r="AE57" s="299"/>
      <c r="AF57" s="299"/>
      <c r="AG57" s="299"/>
      <c r="AH57" s="299"/>
      <c r="AI57" s="299"/>
      <c r="AJ57" s="299"/>
      <c r="AK57" s="299"/>
      <c r="AL57" s="299"/>
      <c r="AM57" s="299"/>
      <c r="AN57" s="299"/>
      <c r="AO57" s="299"/>
      <c r="AP57" s="299"/>
      <c r="AQ57" s="299"/>
    </row>
    <row r="58" spans="2:43">
      <c r="B58" s="295"/>
      <c r="C58" s="295"/>
      <c r="D58" s="295" t="s">
        <v>743</v>
      </c>
      <c r="E58" s="295"/>
      <c r="F58" s="295" t="s">
        <v>744</v>
      </c>
      <c r="G58" s="295"/>
      <c r="H58" s="295"/>
      <c r="I58" s="295"/>
      <c r="J58" s="295"/>
      <c r="K58" s="295"/>
      <c r="L58" s="295"/>
      <c r="M58" s="297"/>
      <c r="N58" s="297" t="s">
        <v>653</v>
      </c>
      <c r="O58" s="305" t="s">
        <v>745</v>
      </c>
      <c r="P58" s="297"/>
      <c r="Q58" s="297"/>
      <c r="R58" s="297"/>
      <c r="S58" s="297"/>
      <c r="T58" s="297"/>
      <c r="U58" s="297"/>
      <c r="V58" s="297"/>
      <c r="W58" s="297"/>
      <c r="X58" s="297"/>
      <c r="Y58" s="299"/>
      <c r="Z58" s="299"/>
      <c r="AA58" s="299"/>
      <c r="AB58" s="299"/>
      <c r="AC58" s="299"/>
      <c r="AD58" s="299"/>
      <c r="AE58" s="299"/>
      <c r="AF58" s="299"/>
      <c r="AG58" s="299"/>
      <c r="AH58" s="299"/>
      <c r="AI58" s="299"/>
      <c r="AJ58" s="299"/>
      <c r="AK58" s="299"/>
      <c r="AL58" s="299"/>
      <c r="AM58" s="299"/>
      <c r="AN58" s="299"/>
      <c r="AO58" s="299"/>
      <c r="AP58" s="299"/>
      <c r="AQ58" s="299"/>
    </row>
    <row r="59" spans="2:43">
      <c r="B59" s="295"/>
      <c r="C59" s="295"/>
      <c r="D59" s="295" t="s">
        <v>746</v>
      </c>
      <c r="E59" s="295"/>
      <c r="F59" s="295" t="s">
        <v>747</v>
      </c>
      <c r="G59" s="295"/>
      <c r="H59" s="295"/>
      <c r="I59" s="295"/>
      <c r="J59" s="295"/>
      <c r="K59" s="295"/>
      <c r="L59" s="295"/>
      <c r="M59" s="297"/>
      <c r="N59" s="297" t="s">
        <v>658</v>
      </c>
      <c r="O59" s="307">
        <f>-3/756</f>
        <v>-3.968253968253968E-3</v>
      </c>
      <c r="P59" s="297"/>
      <c r="Q59" s="297"/>
      <c r="R59" s="297"/>
      <c r="S59" s="297"/>
      <c r="T59" s="297"/>
      <c r="U59" s="297"/>
      <c r="V59" s="297"/>
      <c r="W59" s="297"/>
      <c r="X59" s="297"/>
      <c r="Y59" s="299"/>
      <c r="Z59" s="299"/>
      <c r="AA59" s="299"/>
      <c r="AB59" s="299"/>
      <c r="AC59" s="299"/>
      <c r="AD59" s="299"/>
      <c r="AE59" s="299"/>
      <c r="AF59" s="299"/>
      <c r="AG59" s="299"/>
      <c r="AH59" s="299"/>
      <c r="AI59" s="299"/>
      <c r="AJ59" s="299"/>
      <c r="AK59" s="299"/>
      <c r="AL59" s="299"/>
      <c r="AM59" s="299"/>
      <c r="AN59" s="299"/>
      <c r="AO59" s="299"/>
      <c r="AP59" s="299"/>
      <c r="AQ59" s="299"/>
    </row>
    <row r="60" spans="2:43">
      <c r="B60" s="295"/>
      <c r="C60" s="295"/>
      <c r="D60" s="295" t="s">
        <v>748</v>
      </c>
      <c r="E60" s="295"/>
      <c r="F60" s="295" t="s">
        <v>749</v>
      </c>
      <c r="G60" s="295"/>
      <c r="H60" s="295"/>
      <c r="I60" s="295"/>
      <c r="J60" s="295"/>
      <c r="K60" s="295"/>
      <c r="L60" s="295"/>
      <c r="M60" s="297"/>
      <c r="N60" s="297"/>
      <c r="O60" s="297"/>
      <c r="P60" s="297"/>
      <c r="Q60" s="297"/>
      <c r="R60" s="297"/>
      <c r="S60" s="297"/>
      <c r="T60" s="297"/>
      <c r="U60" s="297"/>
      <c r="V60" s="297"/>
      <c r="W60" s="297"/>
      <c r="X60" s="297"/>
      <c r="Y60" s="299"/>
      <c r="Z60" s="299"/>
      <c r="AA60" s="299"/>
      <c r="AB60" s="299"/>
      <c r="AC60" s="299"/>
      <c r="AD60" s="299"/>
      <c r="AE60" s="299"/>
      <c r="AF60" s="299"/>
      <c r="AG60" s="299"/>
      <c r="AH60" s="299"/>
      <c r="AI60" s="299"/>
      <c r="AJ60" s="299"/>
      <c r="AK60" s="299"/>
      <c r="AL60" s="299"/>
      <c r="AM60" s="299"/>
      <c r="AN60" s="299"/>
      <c r="AO60" s="299"/>
      <c r="AP60" s="299"/>
      <c r="AQ60" s="299"/>
    </row>
    <row r="61" spans="2:43">
      <c r="B61" s="295"/>
      <c r="C61" s="295"/>
      <c r="D61" s="295" t="s">
        <v>750</v>
      </c>
      <c r="E61" s="295"/>
      <c r="F61" s="295" t="s">
        <v>751</v>
      </c>
      <c r="G61" s="295"/>
      <c r="H61" s="295"/>
      <c r="I61" s="295"/>
      <c r="J61" s="295"/>
      <c r="K61" s="295"/>
      <c r="L61" s="295"/>
      <c r="M61" s="297"/>
      <c r="N61" s="297"/>
      <c r="O61" s="297"/>
      <c r="P61" s="297"/>
      <c r="Q61" s="297"/>
      <c r="R61" s="297"/>
      <c r="S61" s="297"/>
      <c r="T61" s="297"/>
      <c r="U61" s="297"/>
      <c r="V61" s="297"/>
      <c r="W61" s="297"/>
      <c r="X61" s="297"/>
      <c r="Y61" s="299"/>
      <c r="Z61" s="299"/>
      <c r="AA61" s="299"/>
      <c r="AB61" s="299"/>
      <c r="AC61" s="299"/>
      <c r="AD61" s="299"/>
      <c r="AE61" s="299"/>
      <c r="AF61" s="299"/>
      <c r="AG61" s="299"/>
      <c r="AH61" s="299"/>
      <c r="AI61" s="299"/>
      <c r="AJ61" s="299"/>
      <c r="AK61" s="299"/>
      <c r="AL61" s="299"/>
      <c r="AM61" s="299"/>
      <c r="AN61" s="299"/>
      <c r="AO61" s="299"/>
      <c r="AP61" s="299"/>
      <c r="AQ61" s="299"/>
    </row>
    <row r="62" spans="2:43">
      <c r="B62" s="295"/>
      <c r="C62" s="295"/>
      <c r="D62" s="295"/>
      <c r="E62" s="295"/>
      <c r="F62" s="295"/>
      <c r="G62" s="295"/>
      <c r="H62" s="295"/>
      <c r="I62" s="295"/>
      <c r="J62" s="295"/>
      <c r="K62" s="295"/>
      <c r="L62" s="295"/>
      <c r="M62" s="308"/>
      <c r="N62" s="309" t="s">
        <v>662</v>
      </c>
      <c r="O62" s="308" t="s">
        <v>752</v>
      </c>
      <c r="P62" s="308"/>
      <c r="Q62" s="308"/>
      <c r="R62" s="308"/>
      <c r="S62" s="308"/>
      <c r="T62" s="308"/>
      <c r="U62" s="308"/>
      <c r="V62" s="308"/>
      <c r="W62" s="308"/>
      <c r="X62" s="308"/>
      <c r="Y62" s="299"/>
      <c r="Z62" s="299"/>
      <c r="AA62" s="299"/>
      <c r="AB62" s="299"/>
      <c r="AC62" s="299"/>
      <c r="AD62" s="299"/>
      <c r="AE62" s="299"/>
      <c r="AF62" s="299"/>
      <c r="AG62" s="299"/>
      <c r="AH62" s="299"/>
      <c r="AI62" s="299"/>
      <c r="AJ62" s="299"/>
      <c r="AK62" s="299"/>
      <c r="AL62" s="299"/>
      <c r="AM62" s="299"/>
      <c r="AN62" s="299"/>
      <c r="AO62" s="299"/>
      <c r="AP62" s="299"/>
      <c r="AQ62" s="299"/>
    </row>
    <row r="63" spans="2:43">
      <c r="B63" s="295"/>
      <c r="C63" s="295"/>
      <c r="D63" s="294" t="s">
        <v>753</v>
      </c>
      <c r="E63" s="295"/>
      <c r="F63" s="295"/>
      <c r="G63" s="295"/>
      <c r="H63" s="295"/>
      <c r="I63" s="295"/>
      <c r="J63" s="295"/>
      <c r="K63" s="295"/>
      <c r="L63" s="295"/>
      <c r="M63" s="308" t="s">
        <v>646</v>
      </c>
      <c r="N63" s="310" t="s">
        <v>754</v>
      </c>
      <c r="O63" s="302"/>
      <c r="P63" s="302"/>
      <c r="Q63" s="302"/>
      <c r="R63" s="311" t="s">
        <v>755</v>
      </c>
      <c r="S63" s="302"/>
      <c r="T63" s="308"/>
      <c r="U63" s="308"/>
      <c r="V63" s="309" t="s">
        <v>756</v>
      </c>
      <c r="W63" s="308"/>
      <c r="X63" s="308"/>
      <c r="Y63" s="299"/>
      <c r="Z63" s="299"/>
      <c r="AA63" s="299"/>
      <c r="AB63" s="299"/>
      <c r="AC63" s="299"/>
      <c r="AD63" s="299"/>
      <c r="AE63" s="299"/>
      <c r="AF63" s="299"/>
      <c r="AG63" s="299"/>
      <c r="AH63" s="299"/>
      <c r="AI63" s="299"/>
      <c r="AJ63" s="299"/>
      <c r="AK63" s="299"/>
      <c r="AL63" s="299"/>
      <c r="AM63" s="299"/>
      <c r="AN63" s="299"/>
      <c r="AO63" s="299"/>
      <c r="AP63" s="299"/>
      <c r="AQ63" s="299"/>
    </row>
    <row r="64" spans="2:43">
      <c r="B64" s="295"/>
      <c r="C64" s="295"/>
      <c r="D64" s="295" t="s">
        <v>757</v>
      </c>
      <c r="E64" s="295"/>
      <c r="F64" s="295" t="s">
        <v>758</v>
      </c>
      <c r="G64" s="295"/>
      <c r="H64" s="295"/>
      <c r="I64" s="295"/>
      <c r="J64" s="295"/>
      <c r="K64" s="295"/>
      <c r="L64" s="295"/>
      <c r="M64" s="308" t="s">
        <v>653</v>
      </c>
      <c r="N64" s="310" t="s">
        <v>759</v>
      </c>
      <c r="O64" s="309" t="s">
        <v>760</v>
      </c>
      <c r="P64" s="308"/>
      <c r="Q64" s="308"/>
      <c r="R64" s="308">
        <f>1378</f>
        <v>1378</v>
      </c>
      <c r="S64" s="312">
        <f>R64/$R$67</f>
        <v>0.54509493670886078</v>
      </c>
      <c r="T64" s="308"/>
      <c r="U64" s="308" t="s">
        <v>717</v>
      </c>
      <c r="V64" s="313">
        <v>0.39</v>
      </c>
      <c r="W64" s="308"/>
      <c r="X64" s="308"/>
      <c r="Y64" s="299"/>
      <c r="Z64" s="299"/>
      <c r="AA64" s="299"/>
      <c r="AB64" s="299"/>
      <c r="AC64" s="299"/>
      <c r="AD64" s="299"/>
      <c r="AE64" s="299"/>
      <c r="AF64" s="299"/>
      <c r="AG64" s="299"/>
      <c r="AH64" s="299"/>
      <c r="AI64" s="299"/>
      <c r="AJ64" s="299"/>
      <c r="AK64" s="299"/>
      <c r="AL64" s="299"/>
      <c r="AM64" s="299"/>
      <c r="AN64" s="299"/>
      <c r="AO64" s="299"/>
      <c r="AP64" s="299"/>
      <c r="AQ64" s="299"/>
    </row>
    <row r="65" spans="2:43">
      <c r="B65" s="295"/>
      <c r="C65" s="295"/>
      <c r="D65" s="295" t="s">
        <v>761</v>
      </c>
      <c r="E65" s="295"/>
      <c r="F65" s="295" t="s">
        <v>762</v>
      </c>
      <c r="G65" s="295"/>
      <c r="H65" s="295"/>
      <c r="I65" s="295"/>
      <c r="J65" s="295"/>
      <c r="K65" s="295"/>
      <c r="L65" s="295"/>
      <c r="M65" s="308" t="s">
        <v>658</v>
      </c>
      <c r="N65" s="314">
        <f>384/2528</f>
        <v>0.15189873417721519</v>
      </c>
      <c r="O65" s="309" t="s">
        <v>763</v>
      </c>
      <c r="P65" s="308"/>
      <c r="Q65" s="308"/>
      <c r="R65" s="308">
        <v>284</v>
      </c>
      <c r="S65" s="312">
        <f>R65/$R$67</f>
        <v>0.11234177215189874</v>
      </c>
      <c r="T65" s="308"/>
      <c r="U65" s="308" t="s">
        <v>667</v>
      </c>
      <c r="V65" s="313">
        <v>0.22</v>
      </c>
      <c r="W65" s="308"/>
      <c r="X65" s="308"/>
      <c r="Y65" s="299"/>
      <c r="Z65" s="299"/>
      <c r="AA65" s="299"/>
      <c r="AB65" s="299"/>
      <c r="AC65" s="299"/>
      <c r="AD65" s="299"/>
      <c r="AE65" s="299"/>
      <c r="AF65" s="299"/>
      <c r="AG65" s="299"/>
      <c r="AH65" s="299"/>
      <c r="AI65" s="299"/>
      <c r="AJ65" s="299"/>
      <c r="AK65" s="299"/>
      <c r="AL65" s="299"/>
      <c r="AM65" s="299"/>
      <c r="AN65" s="299"/>
      <c r="AO65" s="299"/>
      <c r="AP65" s="299"/>
      <c r="AQ65" s="299"/>
    </row>
    <row r="66" spans="2:43">
      <c r="B66" s="295"/>
      <c r="C66" s="295"/>
      <c r="D66" s="295" t="s">
        <v>764</v>
      </c>
      <c r="E66" s="295"/>
      <c r="F66" s="295" t="s">
        <v>765</v>
      </c>
      <c r="G66" s="295"/>
      <c r="H66" s="295"/>
      <c r="I66" s="295"/>
      <c r="J66" s="295"/>
      <c r="K66" s="295"/>
      <c r="L66" s="295"/>
      <c r="M66" s="308" t="s">
        <v>723</v>
      </c>
      <c r="N66" s="310" t="s">
        <v>766</v>
      </c>
      <c r="O66" s="309" t="s">
        <v>767</v>
      </c>
      <c r="P66" s="308"/>
      <c r="Q66" s="308"/>
      <c r="R66" s="308">
        <v>866</v>
      </c>
      <c r="S66" s="312">
        <f>R66/$R$67</f>
        <v>0.3425632911392405</v>
      </c>
      <c r="T66" s="308"/>
      <c r="U66" s="308" t="s">
        <v>670</v>
      </c>
      <c r="V66" s="313">
        <v>0.02</v>
      </c>
      <c r="W66" s="308"/>
      <c r="X66" s="308"/>
      <c r="Y66" s="299"/>
      <c r="Z66" s="299"/>
      <c r="AA66" s="299"/>
      <c r="AB66" s="299"/>
      <c r="AC66" s="299"/>
      <c r="AD66" s="299"/>
      <c r="AE66" s="299"/>
      <c r="AF66" s="299"/>
      <c r="AG66" s="299"/>
      <c r="AH66" s="299"/>
      <c r="AI66" s="299"/>
      <c r="AJ66" s="299"/>
      <c r="AK66" s="299"/>
      <c r="AL66" s="299"/>
      <c r="AM66" s="299"/>
      <c r="AN66" s="299"/>
      <c r="AO66" s="299"/>
      <c r="AP66" s="299"/>
      <c r="AQ66" s="299"/>
    </row>
    <row r="67" spans="2:43">
      <c r="B67" s="295"/>
      <c r="C67" s="295"/>
      <c r="D67" s="295" t="s">
        <v>768</v>
      </c>
      <c r="E67" s="295"/>
      <c r="F67" s="295" t="s">
        <v>769</v>
      </c>
      <c r="G67" s="295"/>
      <c r="H67" s="295"/>
      <c r="I67" s="295"/>
      <c r="J67" s="295"/>
      <c r="K67" s="295"/>
      <c r="L67" s="295"/>
      <c r="M67" s="308"/>
      <c r="N67" s="308"/>
      <c r="O67" s="308"/>
      <c r="P67" s="308"/>
      <c r="Q67" s="308"/>
      <c r="R67" s="308">
        <f>SUM(R64:R66)</f>
        <v>2528</v>
      </c>
      <c r="S67" s="315">
        <f>SUM(S64:S66)</f>
        <v>1</v>
      </c>
      <c r="T67" s="308"/>
      <c r="U67" s="308" t="s">
        <v>728</v>
      </c>
      <c r="V67" s="313">
        <v>0.36</v>
      </c>
      <c r="W67" s="308"/>
      <c r="X67" s="308"/>
      <c r="Y67" s="299"/>
      <c r="Z67" s="299"/>
      <c r="AA67" s="299"/>
      <c r="AB67" s="299"/>
      <c r="AC67" s="299"/>
      <c r="AD67" s="299"/>
      <c r="AE67" s="299"/>
      <c r="AF67" s="299"/>
      <c r="AG67" s="299"/>
      <c r="AH67" s="299"/>
      <c r="AI67" s="299"/>
      <c r="AJ67" s="299"/>
      <c r="AK67" s="299"/>
      <c r="AL67" s="299"/>
      <c r="AM67" s="299"/>
      <c r="AN67" s="299"/>
      <c r="AO67" s="299"/>
      <c r="AP67" s="299"/>
      <c r="AQ67" s="299"/>
    </row>
    <row r="68" spans="2:43">
      <c r="B68" s="295"/>
      <c r="C68" s="295"/>
      <c r="D68" s="295" t="s">
        <v>770</v>
      </c>
      <c r="E68" s="295"/>
      <c r="F68" s="295" t="s">
        <v>771</v>
      </c>
      <c r="G68" s="295"/>
      <c r="H68" s="295"/>
      <c r="I68" s="295"/>
      <c r="J68" s="295"/>
      <c r="K68" s="295"/>
      <c r="L68" s="295"/>
      <c r="M68" s="308"/>
      <c r="N68" s="308"/>
      <c r="O68" s="308"/>
      <c r="P68" s="308"/>
      <c r="Q68" s="308"/>
      <c r="R68" s="308"/>
      <c r="S68" s="308"/>
      <c r="T68" s="308"/>
      <c r="U68" s="308" t="s">
        <v>679</v>
      </c>
      <c r="V68" s="313">
        <v>0.01</v>
      </c>
      <c r="W68" s="308"/>
      <c r="X68" s="308"/>
      <c r="Y68" s="299"/>
      <c r="Z68" s="299"/>
      <c r="AA68" s="299"/>
      <c r="AB68" s="299"/>
      <c r="AC68" s="299"/>
      <c r="AD68" s="299"/>
      <c r="AE68" s="299"/>
      <c r="AF68" s="299"/>
      <c r="AG68" s="299"/>
      <c r="AH68" s="299"/>
      <c r="AI68" s="299"/>
      <c r="AJ68" s="299"/>
      <c r="AK68" s="299"/>
      <c r="AL68" s="299"/>
      <c r="AM68" s="299"/>
      <c r="AN68" s="299"/>
      <c r="AO68" s="299"/>
      <c r="AP68" s="299"/>
      <c r="AQ68" s="299"/>
    </row>
    <row r="69" spans="2:43">
      <c r="B69" s="295"/>
      <c r="C69" s="295"/>
      <c r="D69" s="295" t="s">
        <v>772</v>
      </c>
      <c r="E69" s="295"/>
      <c r="F69" s="295" t="s">
        <v>773</v>
      </c>
      <c r="G69" s="295"/>
      <c r="H69" s="295"/>
      <c r="I69" s="295"/>
      <c r="J69" s="295"/>
      <c r="K69" s="295"/>
      <c r="L69" s="295"/>
      <c r="M69" s="308"/>
      <c r="N69" s="308"/>
      <c r="O69" s="308"/>
      <c r="P69" s="308"/>
      <c r="Q69" s="308"/>
      <c r="R69" s="308"/>
      <c r="S69" s="308"/>
      <c r="T69" s="308"/>
      <c r="U69" s="308"/>
      <c r="V69" s="313">
        <f>SUM(V64:V68)</f>
        <v>1</v>
      </c>
      <c r="W69" s="308"/>
      <c r="X69" s="308"/>
      <c r="Y69" s="299"/>
      <c r="Z69" s="299"/>
      <c r="AA69" s="299"/>
      <c r="AB69" s="299"/>
      <c r="AC69" s="299"/>
      <c r="AD69" s="299"/>
      <c r="AE69" s="299"/>
      <c r="AF69" s="299"/>
      <c r="AG69" s="299"/>
      <c r="AH69" s="299"/>
      <c r="AI69" s="299"/>
      <c r="AJ69" s="299"/>
      <c r="AK69" s="299"/>
      <c r="AL69" s="299"/>
      <c r="AM69" s="299"/>
      <c r="AN69" s="299"/>
      <c r="AO69" s="299"/>
      <c r="AP69" s="299"/>
      <c r="AQ69" s="299"/>
    </row>
    <row r="70" spans="2:43">
      <c r="B70" s="295"/>
      <c r="C70" s="295"/>
      <c r="D70" s="295" t="s">
        <v>774</v>
      </c>
      <c r="E70" s="295"/>
      <c r="F70" s="295" t="s">
        <v>775</v>
      </c>
      <c r="G70" s="295"/>
      <c r="H70" s="295"/>
      <c r="I70" s="295"/>
      <c r="J70" s="295"/>
      <c r="K70" s="295"/>
      <c r="L70" s="295"/>
      <c r="M70" s="308" t="s">
        <v>776</v>
      </c>
      <c r="N70" s="308"/>
      <c r="O70" s="308"/>
      <c r="P70" s="308"/>
      <c r="Q70" s="308"/>
      <c r="R70" s="308"/>
      <c r="S70" s="308"/>
      <c r="T70" s="308"/>
      <c r="U70" s="308"/>
      <c r="V70" s="308"/>
      <c r="W70" s="308"/>
      <c r="X70" s="308"/>
      <c r="Y70" s="299"/>
      <c r="Z70" s="299"/>
      <c r="AA70" s="299"/>
      <c r="AB70" s="299"/>
      <c r="AC70" s="299"/>
      <c r="AD70" s="299"/>
      <c r="AE70" s="299"/>
      <c r="AF70" s="299"/>
      <c r="AG70" s="299"/>
      <c r="AH70" s="299"/>
      <c r="AI70" s="299"/>
      <c r="AJ70" s="299"/>
      <c r="AK70" s="299"/>
      <c r="AL70" s="299"/>
      <c r="AM70" s="299"/>
      <c r="AN70" s="299"/>
      <c r="AO70" s="299"/>
      <c r="AP70" s="299"/>
      <c r="AQ70" s="299"/>
    </row>
    <row r="71" spans="2:43">
      <c r="B71" s="295"/>
      <c r="C71" s="295"/>
      <c r="D71" s="295" t="s">
        <v>777</v>
      </c>
      <c r="E71" s="295"/>
      <c r="F71" s="295" t="s">
        <v>778</v>
      </c>
      <c r="G71" s="295"/>
      <c r="H71" s="295"/>
      <c r="I71" s="295"/>
      <c r="J71" s="295"/>
      <c r="K71" s="295"/>
      <c r="L71" s="295"/>
      <c r="M71" s="308"/>
      <c r="N71" s="308"/>
      <c r="O71" s="308"/>
      <c r="P71" s="308"/>
      <c r="Q71" s="308"/>
      <c r="R71" s="308"/>
      <c r="S71" s="308"/>
      <c r="T71" s="308"/>
      <c r="U71" s="308"/>
      <c r="V71" s="308"/>
      <c r="W71" s="308"/>
      <c r="X71" s="308"/>
      <c r="Y71" s="299"/>
      <c r="Z71" s="299"/>
      <c r="AA71" s="299"/>
      <c r="AB71" s="299"/>
      <c r="AC71" s="299"/>
      <c r="AD71" s="299"/>
      <c r="AE71" s="299"/>
      <c r="AF71" s="299"/>
      <c r="AG71" s="299"/>
      <c r="AH71" s="299"/>
      <c r="AI71" s="299"/>
      <c r="AJ71" s="299"/>
      <c r="AK71" s="299"/>
      <c r="AL71" s="299"/>
      <c r="AM71" s="299"/>
      <c r="AN71" s="299"/>
      <c r="AO71" s="299"/>
      <c r="AP71" s="299"/>
      <c r="AQ71" s="299"/>
    </row>
    <row r="72" spans="2:43">
      <c r="B72" s="295"/>
      <c r="C72" s="295"/>
      <c r="D72" s="295" t="s">
        <v>779</v>
      </c>
      <c r="E72" s="295"/>
      <c r="F72" s="295" t="s">
        <v>780</v>
      </c>
      <c r="G72" s="295"/>
      <c r="H72" s="295"/>
      <c r="I72" s="295"/>
      <c r="J72" s="295"/>
      <c r="K72" s="295"/>
      <c r="L72" s="295"/>
      <c r="M72" s="308"/>
      <c r="N72" s="308"/>
      <c r="O72" s="308"/>
      <c r="P72" s="308"/>
      <c r="Q72" s="308"/>
      <c r="R72" s="308"/>
      <c r="S72" s="308"/>
      <c r="T72" s="308"/>
      <c r="U72" s="308"/>
      <c r="V72" s="308"/>
      <c r="W72" s="308"/>
      <c r="X72" s="308"/>
      <c r="Y72" s="299"/>
      <c r="Z72" s="299"/>
      <c r="AA72" s="299"/>
      <c r="AB72" s="299"/>
      <c r="AC72" s="299"/>
      <c r="AD72" s="299"/>
      <c r="AE72" s="299"/>
      <c r="AF72" s="299"/>
      <c r="AG72" s="299"/>
      <c r="AH72" s="299"/>
      <c r="AI72" s="299"/>
      <c r="AJ72" s="299"/>
      <c r="AK72" s="299"/>
      <c r="AL72" s="299"/>
      <c r="AM72" s="299"/>
      <c r="AN72" s="299"/>
      <c r="AO72" s="299"/>
      <c r="AP72" s="299"/>
      <c r="AQ72" s="299"/>
    </row>
    <row r="73" spans="2:43">
      <c r="B73" s="295"/>
      <c r="C73" s="295"/>
      <c r="D73" s="295" t="s">
        <v>781</v>
      </c>
      <c r="E73" s="295"/>
      <c r="F73" s="295" t="s">
        <v>782</v>
      </c>
      <c r="G73" s="295"/>
      <c r="H73" s="295"/>
      <c r="I73" s="295"/>
      <c r="J73" s="295"/>
      <c r="K73" s="295"/>
      <c r="L73" s="295"/>
      <c r="M73" s="308"/>
      <c r="N73" s="308"/>
      <c r="O73" s="308"/>
      <c r="P73" s="308"/>
      <c r="Q73" s="308"/>
      <c r="R73" s="308"/>
      <c r="S73" s="308"/>
      <c r="T73" s="308"/>
      <c r="U73" s="308"/>
      <c r="V73" s="308"/>
      <c r="W73" s="308"/>
      <c r="X73" s="308"/>
      <c r="Y73" s="299"/>
      <c r="Z73" s="299"/>
      <c r="AA73" s="299"/>
      <c r="AB73" s="299"/>
      <c r="AC73" s="299"/>
      <c r="AD73" s="299"/>
      <c r="AE73" s="299"/>
      <c r="AF73" s="299"/>
      <c r="AG73" s="299"/>
      <c r="AH73" s="299"/>
      <c r="AI73" s="299"/>
      <c r="AJ73" s="299"/>
      <c r="AK73" s="299"/>
      <c r="AL73" s="299"/>
      <c r="AM73" s="299"/>
      <c r="AN73" s="299"/>
      <c r="AO73" s="299"/>
      <c r="AP73" s="299"/>
      <c r="AQ73" s="299"/>
    </row>
    <row r="74" spans="2:43">
      <c r="B74" s="295"/>
      <c r="C74" s="295"/>
      <c r="D74" s="295" t="s">
        <v>783</v>
      </c>
      <c r="E74" s="295"/>
      <c r="F74" s="295" t="s">
        <v>784</v>
      </c>
      <c r="G74" s="295"/>
      <c r="H74" s="295"/>
      <c r="I74" s="295"/>
      <c r="J74" s="295"/>
      <c r="K74" s="295"/>
      <c r="L74" s="295"/>
      <c r="M74" s="308"/>
      <c r="N74" s="308"/>
      <c r="O74" s="308"/>
      <c r="P74" s="308"/>
      <c r="Q74" s="308"/>
      <c r="R74" s="308"/>
      <c r="S74" s="308"/>
      <c r="T74" s="308"/>
      <c r="U74" s="308"/>
      <c r="V74" s="308"/>
      <c r="W74" s="308"/>
      <c r="X74" s="308"/>
      <c r="Y74" s="299"/>
      <c r="Z74" s="299"/>
      <c r="AA74" s="299"/>
      <c r="AB74" s="299"/>
      <c r="AC74" s="299"/>
      <c r="AD74" s="299"/>
      <c r="AE74" s="299"/>
      <c r="AF74" s="299"/>
      <c r="AG74" s="299"/>
      <c r="AH74" s="299"/>
      <c r="AI74" s="299"/>
      <c r="AJ74" s="299"/>
      <c r="AK74" s="299"/>
      <c r="AL74" s="299"/>
      <c r="AM74" s="299"/>
      <c r="AN74" s="299"/>
      <c r="AO74" s="299"/>
      <c r="AP74" s="299"/>
      <c r="AQ74" s="299"/>
    </row>
    <row r="75" spans="2:43">
      <c r="B75" s="295"/>
      <c r="C75" s="295"/>
      <c r="D75" s="295" t="s">
        <v>680</v>
      </c>
      <c r="E75" s="295"/>
      <c r="F75" s="295" t="s">
        <v>785</v>
      </c>
      <c r="G75" s="295"/>
      <c r="H75" s="295"/>
      <c r="I75" s="295"/>
      <c r="J75" s="295"/>
      <c r="K75" s="295"/>
      <c r="L75" s="295"/>
      <c r="M75" s="308"/>
      <c r="N75" s="308"/>
      <c r="O75" s="308"/>
      <c r="P75" s="308"/>
      <c r="Q75" s="308"/>
      <c r="R75" s="308"/>
      <c r="S75" s="308"/>
      <c r="T75" s="308"/>
      <c r="U75" s="308"/>
      <c r="V75" s="308"/>
      <c r="W75" s="308"/>
      <c r="X75" s="308"/>
      <c r="Y75" s="299"/>
      <c r="Z75" s="299"/>
      <c r="AA75" s="299"/>
      <c r="AB75" s="299"/>
      <c r="AC75" s="299"/>
      <c r="AD75" s="299"/>
      <c r="AE75" s="299"/>
      <c r="AF75" s="299"/>
      <c r="AG75" s="299"/>
      <c r="AH75" s="299"/>
      <c r="AI75" s="299"/>
      <c r="AJ75" s="299"/>
      <c r="AK75" s="299"/>
      <c r="AL75" s="299"/>
      <c r="AM75" s="299"/>
      <c r="AN75" s="299"/>
      <c r="AO75" s="299"/>
      <c r="AP75" s="299"/>
      <c r="AQ75" s="299"/>
    </row>
    <row r="76" spans="2:43">
      <c r="B76" s="295"/>
      <c r="C76" s="295"/>
      <c r="D76" s="295"/>
      <c r="E76" s="295"/>
      <c r="F76" s="295"/>
      <c r="G76" s="295"/>
      <c r="H76" s="295"/>
      <c r="I76" s="295"/>
      <c r="J76" s="295"/>
      <c r="K76" s="295"/>
      <c r="L76" s="295"/>
      <c r="M76" s="308"/>
      <c r="N76" s="308"/>
      <c r="O76" s="308"/>
      <c r="P76" s="308"/>
      <c r="Q76" s="308"/>
      <c r="R76" s="308"/>
      <c r="S76" s="308"/>
      <c r="T76" s="308"/>
      <c r="U76" s="308"/>
      <c r="V76" s="308"/>
      <c r="W76" s="308"/>
      <c r="X76" s="308"/>
      <c r="Y76" s="299"/>
      <c r="Z76" s="299"/>
      <c r="AA76" s="299"/>
      <c r="AB76" s="299"/>
      <c r="AC76" s="299"/>
      <c r="AD76" s="299"/>
      <c r="AE76" s="299"/>
      <c r="AF76" s="299"/>
      <c r="AG76" s="299"/>
      <c r="AH76" s="299"/>
      <c r="AI76" s="299"/>
      <c r="AJ76" s="299"/>
      <c r="AK76" s="299"/>
      <c r="AL76" s="299"/>
      <c r="AM76" s="299"/>
      <c r="AN76" s="299"/>
      <c r="AO76" s="299"/>
      <c r="AP76" s="299"/>
      <c r="AQ76" s="299"/>
    </row>
    <row r="77" spans="2:43">
      <c r="B77" s="295"/>
      <c r="C77" s="295"/>
      <c r="D77" s="295"/>
      <c r="E77" s="295"/>
      <c r="F77" s="295"/>
      <c r="G77" s="295"/>
      <c r="H77" s="295"/>
      <c r="I77" s="295"/>
      <c r="J77" s="295"/>
      <c r="K77" s="295"/>
      <c r="L77" s="295"/>
      <c r="M77" s="308"/>
      <c r="N77" s="308"/>
      <c r="O77" s="308"/>
      <c r="P77" s="308"/>
      <c r="Q77" s="308"/>
      <c r="R77" s="308"/>
      <c r="S77" s="308"/>
      <c r="T77" s="308"/>
      <c r="U77" s="308"/>
      <c r="V77" s="308"/>
      <c r="W77" s="308"/>
      <c r="X77" s="308"/>
      <c r="Y77" s="299"/>
      <c r="Z77" s="299"/>
      <c r="AA77" s="299"/>
      <c r="AB77" s="299"/>
      <c r="AC77" s="299"/>
      <c r="AD77" s="299"/>
      <c r="AE77" s="299"/>
      <c r="AF77" s="299"/>
      <c r="AG77" s="299"/>
      <c r="AH77" s="299"/>
      <c r="AI77" s="299"/>
      <c r="AJ77" s="299"/>
      <c r="AK77" s="299"/>
      <c r="AL77" s="299"/>
      <c r="AM77" s="299"/>
      <c r="AN77" s="299"/>
      <c r="AO77" s="299"/>
      <c r="AP77" s="299"/>
      <c r="AQ77" s="299"/>
    </row>
    <row r="78" spans="2:43">
      <c r="B78" s="295"/>
      <c r="C78" s="295"/>
      <c r="D78" s="295"/>
      <c r="E78" s="295"/>
      <c r="F78" s="295"/>
      <c r="G78" s="295"/>
      <c r="H78" s="295"/>
      <c r="I78" s="295"/>
      <c r="J78" s="295"/>
      <c r="K78" s="295"/>
      <c r="L78" s="295"/>
      <c r="M78" s="308"/>
      <c r="N78" s="308"/>
      <c r="O78" s="308"/>
      <c r="P78" s="308"/>
      <c r="Q78" s="308"/>
      <c r="R78" s="308"/>
      <c r="S78" s="308"/>
      <c r="T78" s="308"/>
      <c r="U78" s="308"/>
      <c r="V78" s="308"/>
      <c r="W78" s="308"/>
      <c r="X78" s="308"/>
      <c r="Y78" s="299"/>
      <c r="Z78" s="299"/>
      <c r="AA78" s="299"/>
      <c r="AB78" s="299"/>
      <c r="AC78" s="299"/>
      <c r="AD78" s="299"/>
      <c r="AE78" s="299"/>
      <c r="AF78" s="299"/>
      <c r="AG78" s="299"/>
      <c r="AH78" s="299"/>
      <c r="AI78" s="299"/>
      <c r="AJ78" s="299"/>
      <c r="AK78" s="299"/>
      <c r="AL78" s="299"/>
      <c r="AM78" s="299"/>
      <c r="AN78" s="299"/>
      <c r="AO78" s="299"/>
      <c r="AP78" s="299"/>
      <c r="AQ78" s="299"/>
    </row>
    <row r="79" spans="2:43">
      <c r="B79" s="295"/>
      <c r="C79" s="295"/>
      <c r="D79" s="295"/>
      <c r="E79" s="295"/>
      <c r="F79" s="295"/>
      <c r="G79" s="295"/>
      <c r="H79" s="295"/>
      <c r="I79" s="295"/>
      <c r="J79" s="295"/>
      <c r="K79" s="295"/>
      <c r="L79" s="295"/>
      <c r="M79" s="302"/>
      <c r="N79" s="302"/>
      <c r="O79" s="302"/>
      <c r="P79" s="302"/>
      <c r="Q79" s="302"/>
      <c r="R79" s="302"/>
      <c r="S79" s="302"/>
      <c r="T79" s="302"/>
      <c r="U79" s="302"/>
      <c r="V79" s="302"/>
      <c r="W79" s="302"/>
      <c r="X79" s="302"/>
      <c r="Y79" s="299"/>
      <c r="Z79" s="299"/>
      <c r="AA79" s="299"/>
      <c r="AB79" s="299"/>
      <c r="AC79" s="299"/>
      <c r="AD79" s="299"/>
      <c r="AE79" s="299"/>
      <c r="AF79" s="299"/>
      <c r="AG79" s="299"/>
      <c r="AH79" s="299"/>
      <c r="AI79" s="299"/>
      <c r="AJ79" s="299"/>
      <c r="AK79" s="299"/>
      <c r="AL79" s="299"/>
      <c r="AM79" s="299"/>
      <c r="AN79" s="299"/>
      <c r="AO79" s="299"/>
      <c r="AP79" s="299"/>
      <c r="AQ79" s="299"/>
    </row>
    <row r="80" spans="2:43">
      <c r="B80" s="295"/>
      <c r="C80" s="295"/>
      <c r="D80" s="295"/>
      <c r="E80" s="295"/>
      <c r="F80" s="295"/>
      <c r="G80" s="295"/>
      <c r="H80" s="295"/>
      <c r="I80" s="295"/>
      <c r="J80" s="295"/>
      <c r="K80" s="295"/>
      <c r="L80" s="295"/>
      <c r="M80" s="302"/>
      <c r="N80" s="302"/>
      <c r="O80" s="302"/>
      <c r="P80" s="302"/>
      <c r="Q80" s="302"/>
      <c r="R80" s="302"/>
      <c r="S80" s="302"/>
      <c r="T80" s="302"/>
      <c r="U80" s="302"/>
      <c r="V80" s="302"/>
      <c r="W80" s="302"/>
      <c r="X80" s="302"/>
      <c r="Y80" s="299"/>
      <c r="Z80" s="299"/>
      <c r="AA80" s="299"/>
      <c r="AB80" s="299"/>
      <c r="AC80" s="299"/>
      <c r="AD80" s="299"/>
      <c r="AE80" s="299"/>
      <c r="AF80" s="299"/>
      <c r="AG80" s="299"/>
      <c r="AH80" s="299"/>
      <c r="AI80" s="299"/>
      <c r="AJ80" s="299"/>
      <c r="AK80" s="299"/>
      <c r="AL80" s="299"/>
      <c r="AM80" s="299"/>
      <c r="AN80" s="299"/>
      <c r="AO80" s="299"/>
      <c r="AP80" s="299"/>
      <c r="AQ80" s="299"/>
    </row>
    <row r="81" spans="2:43">
      <c r="B81" s="295"/>
      <c r="C81" s="295"/>
      <c r="D81" s="295"/>
      <c r="E81" s="295"/>
      <c r="F81" s="295"/>
      <c r="G81" s="295"/>
      <c r="H81" s="295"/>
      <c r="I81" s="295"/>
      <c r="J81" s="295"/>
      <c r="K81" s="295"/>
      <c r="L81" s="295"/>
      <c r="M81" s="302"/>
      <c r="N81" s="302"/>
      <c r="O81" s="302"/>
      <c r="P81" s="302"/>
      <c r="Q81" s="302"/>
      <c r="R81" s="302"/>
      <c r="S81" s="302"/>
      <c r="T81" s="302"/>
      <c r="U81" s="302"/>
      <c r="V81" s="302"/>
      <c r="W81" s="302"/>
      <c r="X81" s="302"/>
      <c r="Y81" s="299"/>
      <c r="Z81" s="299"/>
      <c r="AA81" s="299"/>
      <c r="AB81" s="299"/>
      <c r="AC81" s="299"/>
      <c r="AD81" s="299"/>
      <c r="AE81" s="299"/>
      <c r="AF81" s="299"/>
      <c r="AG81" s="299"/>
      <c r="AH81" s="299"/>
      <c r="AI81" s="299"/>
      <c r="AJ81" s="299"/>
      <c r="AK81" s="299"/>
      <c r="AL81" s="299"/>
      <c r="AM81" s="299"/>
      <c r="AN81" s="299"/>
      <c r="AO81" s="299"/>
      <c r="AP81" s="299"/>
      <c r="AQ81" s="299"/>
    </row>
    <row r="82" spans="2:43">
      <c r="B82" s="295"/>
      <c r="C82" s="295"/>
      <c r="D82" s="295"/>
      <c r="E82" s="295"/>
      <c r="F82" s="295"/>
      <c r="G82" s="295"/>
      <c r="H82" s="295"/>
      <c r="I82" s="295"/>
      <c r="J82" s="295"/>
      <c r="K82" s="295"/>
      <c r="L82" s="295"/>
      <c r="M82" s="302"/>
      <c r="N82" s="302"/>
      <c r="O82" s="302"/>
      <c r="P82" s="302"/>
      <c r="Q82" s="302"/>
      <c r="R82" s="302"/>
      <c r="S82" s="302"/>
      <c r="T82" s="302"/>
      <c r="U82" s="302"/>
      <c r="V82" s="302"/>
      <c r="W82" s="302"/>
      <c r="X82" s="302"/>
      <c r="Y82" s="299"/>
      <c r="Z82" s="299"/>
      <c r="AA82" s="299"/>
      <c r="AB82" s="299"/>
      <c r="AC82" s="299"/>
      <c r="AD82" s="299"/>
      <c r="AE82" s="299"/>
      <c r="AF82" s="299"/>
      <c r="AG82" s="299"/>
      <c r="AH82" s="299"/>
      <c r="AI82" s="299"/>
      <c r="AJ82" s="299"/>
      <c r="AK82" s="299"/>
      <c r="AL82" s="299"/>
      <c r="AM82" s="299"/>
      <c r="AN82" s="299"/>
      <c r="AO82" s="299"/>
      <c r="AP82" s="299"/>
      <c r="AQ82" s="299"/>
    </row>
    <row r="83" spans="2:43">
      <c r="B83" s="295"/>
      <c r="C83" s="295"/>
      <c r="D83" s="295"/>
      <c r="E83" s="295"/>
      <c r="F83" s="295"/>
      <c r="G83" s="295"/>
      <c r="H83" s="295"/>
      <c r="I83" s="295"/>
      <c r="J83" s="295"/>
      <c r="K83" s="295"/>
      <c r="L83" s="295"/>
      <c r="M83" s="302"/>
      <c r="N83" s="302"/>
      <c r="O83" s="302"/>
      <c r="P83" s="302"/>
      <c r="Q83" s="302"/>
      <c r="R83" s="302"/>
      <c r="S83" s="302"/>
      <c r="T83" s="302"/>
      <c r="U83" s="302"/>
      <c r="V83" s="302"/>
      <c r="W83" s="302"/>
      <c r="X83" s="302"/>
      <c r="Y83" s="299"/>
      <c r="Z83" s="299"/>
      <c r="AA83" s="299"/>
      <c r="AB83" s="299"/>
      <c r="AC83" s="299"/>
      <c r="AD83" s="299"/>
      <c r="AE83" s="299"/>
      <c r="AF83" s="299"/>
      <c r="AG83" s="299"/>
      <c r="AH83" s="299"/>
      <c r="AI83" s="299"/>
      <c r="AJ83" s="299"/>
      <c r="AK83" s="299"/>
      <c r="AL83" s="299"/>
      <c r="AM83" s="299"/>
      <c r="AN83" s="299"/>
      <c r="AO83" s="299"/>
      <c r="AP83" s="299"/>
      <c r="AQ83" s="299"/>
    </row>
    <row r="84" spans="2:43">
      <c r="B84" s="295"/>
      <c r="C84" s="295"/>
      <c r="D84" s="295"/>
      <c r="E84" s="295"/>
      <c r="F84" s="295"/>
      <c r="G84" s="295"/>
      <c r="H84" s="295"/>
      <c r="I84" s="295"/>
      <c r="J84" s="295"/>
      <c r="K84" s="295"/>
      <c r="L84" s="295"/>
      <c r="M84" s="302"/>
      <c r="N84" s="302"/>
      <c r="O84" s="302"/>
      <c r="P84" s="302"/>
      <c r="Q84" s="302"/>
      <c r="R84" s="302"/>
      <c r="S84" s="302"/>
      <c r="T84" s="302"/>
      <c r="U84" s="302"/>
      <c r="V84" s="302"/>
      <c r="W84" s="302"/>
      <c r="X84" s="302"/>
      <c r="Y84" s="299"/>
      <c r="Z84" s="299"/>
      <c r="AA84" s="299"/>
      <c r="AB84" s="299"/>
      <c r="AC84" s="299"/>
      <c r="AD84" s="299"/>
      <c r="AE84" s="299"/>
      <c r="AF84" s="299"/>
      <c r="AG84" s="299"/>
      <c r="AH84" s="299"/>
      <c r="AI84" s="299"/>
      <c r="AJ84" s="299"/>
      <c r="AK84" s="299"/>
      <c r="AL84" s="299"/>
      <c r="AM84" s="299"/>
      <c r="AN84" s="299"/>
      <c r="AO84" s="299"/>
      <c r="AP84" s="299"/>
      <c r="AQ84" s="299"/>
    </row>
    <row r="85" spans="2:43">
      <c r="B85" s="295"/>
      <c r="C85" s="295"/>
      <c r="D85" s="295"/>
      <c r="E85" s="295"/>
      <c r="F85" s="295"/>
      <c r="G85" s="295"/>
      <c r="H85" s="295"/>
      <c r="I85" s="295"/>
      <c r="J85" s="295"/>
      <c r="K85" s="295"/>
      <c r="L85" s="295"/>
      <c r="M85" s="302"/>
      <c r="N85" s="302"/>
      <c r="O85" s="302"/>
      <c r="P85" s="302"/>
      <c r="Q85" s="302"/>
      <c r="R85" s="302"/>
      <c r="S85" s="302"/>
      <c r="T85" s="302"/>
      <c r="U85" s="302"/>
      <c r="V85" s="302"/>
      <c r="W85" s="302"/>
      <c r="X85" s="302"/>
      <c r="Y85" s="299"/>
      <c r="Z85" s="299"/>
      <c r="AA85" s="299"/>
      <c r="AB85" s="299"/>
      <c r="AC85" s="299"/>
      <c r="AD85" s="299"/>
      <c r="AE85" s="299"/>
      <c r="AF85" s="299"/>
      <c r="AG85" s="299"/>
      <c r="AH85" s="299"/>
      <c r="AI85" s="299"/>
      <c r="AJ85" s="299"/>
      <c r="AK85" s="299"/>
      <c r="AL85" s="299"/>
      <c r="AM85" s="299"/>
      <c r="AN85" s="299"/>
      <c r="AO85" s="299"/>
      <c r="AP85" s="299"/>
      <c r="AQ85" s="299"/>
    </row>
    <row r="86" spans="2:43">
      <c r="B86" s="295"/>
      <c r="C86" s="295"/>
      <c r="D86" s="295"/>
      <c r="E86" s="295"/>
      <c r="F86" s="295"/>
      <c r="G86" s="295"/>
      <c r="H86" s="295"/>
      <c r="I86" s="295"/>
      <c r="J86" s="295"/>
      <c r="K86" s="295"/>
      <c r="L86" s="295"/>
      <c r="M86" s="302"/>
      <c r="N86" s="302"/>
      <c r="O86" s="302"/>
      <c r="P86" s="302"/>
      <c r="Q86" s="302"/>
      <c r="R86" s="302"/>
      <c r="S86" s="302"/>
      <c r="T86" s="302"/>
      <c r="U86" s="302"/>
      <c r="V86" s="302"/>
      <c r="W86" s="302"/>
      <c r="X86" s="302"/>
      <c r="Y86" s="299"/>
      <c r="Z86" s="299"/>
      <c r="AA86" s="299"/>
      <c r="AB86" s="299"/>
      <c r="AC86" s="299"/>
      <c r="AD86" s="299"/>
      <c r="AE86" s="299"/>
      <c r="AF86" s="299"/>
      <c r="AG86" s="299"/>
      <c r="AH86" s="299"/>
      <c r="AI86" s="299"/>
      <c r="AJ86" s="299"/>
      <c r="AK86" s="299"/>
      <c r="AL86" s="299"/>
      <c r="AM86" s="299"/>
      <c r="AN86" s="299"/>
      <c r="AO86" s="299"/>
      <c r="AP86" s="299"/>
      <c r="AQ86" s="299"/>
    </row>
    <row r="87" spans="2:43">
      <c r="B87" s="295"/>
      <c r="C87" s="295"/>
      <c r="D87" s="295"/>
      <c r="E87" s="295"/>
      <c r="F87" s="295"/>
      <c r="G87" s="295"/>
      <c r="H87" s="295"/>
      <c r="I87" s="295"/>
      <c r="J87" s="295"/>
      <c r="K87" s="295"/>
      <c r="L87" s="295"/>
      <c r="M87" s="302"/>
      <c r="N87" s="302"/>
      <c r="O87" s="302"/>
      <c r="P87" s="302"/>
      <c r="Q87" s="302"/>
      <c r="R87" s="302"/>
      <c r="S87" s="302"/>
      <c r="T87" s="302"/>
      <c r="U87" s="302"/>
      <c r="V87" s="302"/>
      <c r="W87" s="302"/>
      <c r="X87" s="302"/>
      <c r="Y87" s="299"/>
      <c r="Z87" s="299"/>
      <c r="AA87" s="299"/>
      <c r="AB87" s="299"/>
      <c r="AC87" s="299"/>
      <c r="AD87" s="299"/>
      <c r="AE87" s="299"/>
      <c r="AF87" s="299"/>
      <c r="AG87" s="299"/>
      <c r="AH87" s="299"/>
      <c r="AI87" s="299"/>
      <c r="AJ87" s="299"/>
      <c r="AK87" s="299"/>
      <c r="AL87" s="299"/>
      <c r="AM87" s="299"/>
      <c r="AN87" s="299"/>
      <c r="AO87" s="299"/>
      <c r="AP87" s="299"/>
      <c r="AQ87" s="299"/>
    </row>
    <row r="88" spans="2:43">
      <c r="B88" s="295"/>
      <c r="C88" s="295"/>
      <c r="D88" s="295"/>
      <c r="E88" s="295"/>
      <c r="F88" s="295"/>
      <c r="G88" s="295"/>
      <c r="H88" s="295"/>
      <c r="I88" s="295"/>
      <c r="J88" s="295"/>
      <c r="K88" s="295"/>
      <c r="L88" s="295"/>
      <c r="M88" s="302"/>
      <c r="N88" s="302"/>
      <c r="O88" s="302"/>
      <c r="P88" s="302"/>
      <c r="Q88" s="302"/>
      <c r="R88" s="302"/>
      <c r="S88" s="302"/>
      <c r="T88" s="302"/>
      <c r="U88" s="302"/>
      <c r="V88" s="302"/>
      <c r="W88" s="302"/>
      <c r="X88" s="302"/>
      <c r="Y88" s="299"/>
      <c r="Z88" s="299"/>
      <c r="AA88" s="299"/>
      <c r="AB88" s="299"/>
      <c r="AC88" s="299"/>
      <c r="AD88" s="299"/>
      <c r="AE88" s="299"/>
      <c r="AF88" s="299"/>
      <c r="AG88" s="299"/>
      <c r="AH88" s="299"/>
      <c r="AI88" s="299"/>
      <c r="AJ88" s="299"/>
      <c r="AK88" s="299"/>
      <c r="AL88" s="299"/>
      <c r="AM88" s="299"/>
      <c r="AN88" s="299"/>
      <c r="AO88" s="299"/>
      <c r="AP88" s="299"/>
      <c r="AQ88" s="299"/>
    </row>
    <row r="89" spans="2:43">
      <c r="B89" s="295"/>
      <c r="C89" s="295"/>
      <c r="D89" s="295"/>
      <c r="E89" s="295"/>
      <c r="F89" s="295"/>
      <c r="G89" s="295"/>
      <c r="H89" s="295"/>
      <c r="I89" s="295"/>
      <c r="J89" s="295"/>
      <c r="K89" s="295"/>
      <c r="L89" s="295"/>
      <c r="M89" s="302"/>
      <c r="N89" s="302"/>
      <c r="O89" s="302"/>
      <c r="P89" s="302"/>
      <c r="Q89" s="302"/>
      <c r="R89" s="302"/>
      <c r="S89" s="302"/>
      <c r="T89" s="302"/>
      <c r="U89" s="302"/>
      <c r="V89" s="302"/>
      <c r="W89" s="302"/>
      <c r="X89" s="302"/>
      <c r="Y89" s="299"/>
      <c r="Z89" s="299"/>
      <c r="AA89" s="299"/>
      <c r="AB89" s="299"/>
      <c r="AC89" s="299"/>
      <c r="AD89" s="299"/>
      <c r="AE89" s="299"/>
      <c r="AF89" s="299"/>
      <c r="AG89" s="299"/>
      <c r="AH89" s="299"/>
      <c r="AI89" s="299"/>
      <c r="AJ89" s="299"/>
      <c r="AK89" s="299"/>
      <c r="AL89" s="299"/>
      <c r="AM89" s="299"/>
      <c r="AN89" s="299"/>
      <c r="AO89" s="299"/>
      <c r="AP89" s="299"/>
      <c r="AQ89" s="299"/>
    </row>
    <row r="90" spans="2:43">
      <c r="B90" s="295"/>
      <c r="C90" s="295"/>
      <c r="D90" s="295"/>
      <c r="E90" s="295"/>
      <c r="F90" s="295"/>
      <c r="G90" s="295"/>
      <c r="H90" s="295"/>
      <c r="I90" s="295"/>
      <c r="J90" s="295"/>
      <c r="K90" s="295"/>
      <c r="L90" s="295"/>
      <c r="M90" s="302"/>
      <c r="N90" s="302"/>
      <c r="O90" s="302"/>
      <c r="P90" s="302"/>
      <c r="Q90" s="302"/>
      <c r="R90" s="302"/>
      <c r="S90" s="302"/>
      <c r="T90" s="302"/>
      <c r="U90" s="302"/>
      <c r="V90" s="302"/>
      <c r="W90" s="302"/>
      <c r="X90" s="302"/>
    </row>
    <row r="91" spans="2:43">
      <c r="B91" s="295"/>
      <c r="C91" s="295"/>
      <c r="D91" s="295"/>
      <c r="E91" s="295"/>
      <c r="F91" s="295"/>
      <c r="G91" s="295"/>
      <c r="H91" s="295"/>
      <c r="I91" s="295"/>
      <c r="J91" s="295"/>
      <c r="K91" s="295"/>
      <c r="L91" s="295"/>
      <c r="M91" s="302"/>
      <c r="N91" s="302"/>
      <c r="O91" s="302"/>
      <c r="P91" s="302"/>
      <c r="Q91" s="302"/>
      <c r="R91" s="302"/>
      <c r="S91" s="302"/>
      <c r="T91" s="302"/>
      <c r="U91" s="302"/>
      <c r="V91" s="302"/>
      <c r="W91" s="302"/>
      <c r="X91" s="302"/>
    </row>
    <row r="92" spans="2:43">
      <c r="B92" s="295"/>
      <c r="C92" s="295"/>
      <c r="D92" s="295"/>
      <c r="E92" s="295"/>
      <c r="F92" s="295"/>
      <c r="G92" s="295"/>
      <c r="H92" s="295"/>
      <c r="I92" s="295"/>
      <c r="J92" s="295"/>
      <c r="K92" s="295"/>
      <c r="L92" s="295"/>
      <c r="M92" s="302"/>
      <c r="N92" s="302"/>
      <c r="O92" s="302"/>
      <c r="P92" s="302"/>
      <c r="Q92" s="302"/>
      <c r="R92" s="302"/>
      <c r="S92" s="302"/>
      <c r="T92" s="302"/>
      <c r="U92" s="302"/>
      <c r="V92" s="302"/>
      <c r="W92" s="302"/>
      <c r="X92" s="302"/>
    </row>
    <row r="93" spans="2:43">
      <c r="B93" s="295"/>
      <c r="C93" s="295"/>
      <c r="D93" s="295"/>
      <c r="E93" s="295"/>
      <c r="F93" s="295"/>
      <c r="G93" s="295"/>
      <c r="H93" s="295"/>
      <c r="I93" s="295"/>
      <c r="J93" s="295"/>
      <c r="K93" s="295"/>
      <c r="L93" s="295"/>
      <c r="M93" s="302"/>
      <c r="N93" s="302"/>
      <c r="O93" s="302"/>
      <c r="P93" s="302"/>
      <c r="Q93" s="302"/>
      <c r="R93" s="302"/>
      <c r="S93" s="302"/>
      <c r="T93" s="302"/>
      <c r="U93" s="302"/>
      <c r="V93" s="302"/>
      <c r="W93" s="302"/>
      <c r="X93" s="302"/>
    </row>
    <row r="94" spans="2:43">
      <c r="B94" s="295"/>
      <c r="C94" s="295"/>
      <c r="D94" s="295"/>
      <c r="E94" s="295"/>
      <c r="F94" s="295"/>
      <c r="G94" s="295"/>
      <c r="H94" s="295"/>
      <c r="I94" s="295"/>
      <c r="J94" s="295"/>
      <c r="K94" s="295"/>
      <c r="L94" s="295"/>
      <c r="M94" s="302"/>
      <c r="N94" s="302"/>
      <c r="O94" s="302"/>
      <c r="P94" s="302"/>
      <c r="Q94" s="302"/>
      <c r="R94" s="302"/>
      <c r="S94" s="302"/>
      <c r="T94" s="302"/>
      <c r="U94" s="302"/>
      <c r="V94" s="302"/>
      <c r="W94" s="302"/>
      <c r="X94" s="302"/>
    </row>
    <row r="95" spans="2:43">
      <c r="B95" s="295"/>
      <c r="C95" s="295"/>
      <c r="D95" s="295"/>
      <c r="E95" s="295"/>
      <c r="F95" s="295"/>
      <c r="G95" s="295"/>
      <c r="H95" s="295"/>
      <c r="I95" s="295"/>
      <c r="J95" s="295"/>
      <c r="K95" s="295"/>
      <c r="L95" s="295"/>
      <c r="M95" s="302"/>
      <c r="N95" s="302"/>
      <c r="O95" s="302"/>
      <c r="P95" s="302"/>
      <c r="Q95" s="302"/>
      <c r="R95" s="302"/>
      <c r="S95" s="302"/>
      <c r="T95" s="302"/>
      <c r="U95" s="302"/>
      <c r="V95" s="302"/>
      <c r="W95" s="302"/>
      <c r="X95" s="302"/>
    </row>
    <row r="96" spans="2:43">
      <c r="B96" s="295"/>
      <c r="C96" s="295"/>
      <c r="D96" s="295"/>
      <c r="E96" s="295"/>
      <c r="F96" s="295"/>
      <c r="G96" s="295"/>
      <c r="H96" s="295"/>
      <c r="I96" s="295"/>
      <c r="J96" s="295"/>
      <c r="K96" s="295"/>
      <c r="L96" s="295"/>
      <c r="M96" s="302"/>
      <c r="N96" s="302"/>
      <c r="O96" s="302"/>
      <c r="P96" s="302"/>
      <c r="Q96" s="302"/>
      <c r="R96" s="302"/>
      <c r="S96" s="302"/>
      <c r="T96" s="302"/>
      <c r="U96" s="302"/>
      <c r="V96" s="302"/>
      <c r="W96" s="302"/>
      <c r="X96" s="302"/>
    </row>
    <row r="97" spans="2:24">
      <c r="B97" s="295"/>
      <c r="C97" s="295"/>
      <c r="D97" s="295"/>
      <c r="E97" s="295"/>
      <c r="F97" s="295"/>
      <c r="G97" s="295"/>
      <c r="H97" s="295"/>
      <c r="I97" s="295"/>
      <c r="J97" s="295"/>
      <c r="K97" s="295"/>
      <c r="L97" s="295"/>
      <c r="M97" s="302"/>
      <c r="N97" s="302"/>
      <c r="O97" s="302"/>
      <c r="P97" s="302"/>
      <c r="Q97" s="302"/>
      <c r="R97" s="302"/>
      <c r="S97" s="302"/>
      <c r="T97" s="302"/>
      <c r="U97" s="302"/>
      <c r="V97" s="302"/>
      <c r="W97" s="302"/>
      <c r="X97" s="302"/>
    </row>
    <row r="98" spans="2:24">
      <c r="B98" s="295"/>
      <c r="C98" s="295"/>
      <c r="D98" s="295"/>
      <c r="E98" s="295"/>
      <c r="F98" s="295"/>
      <c r="G98" s="295"/>
      <c r="H98" s="295"/>
      <c r="I98" s="295"/>
      <c r="J98" s="295"/>
      <c r="K98" s="295"/>
      <c r="L98" s="295"/>
      <c r="M98" s="302"/>
      <c r="N98" s="311" t="s">
        <v>786</v>
      </c>
      <c r="O98" s="302"/>
      <c r="P98" s="302"/>
      <c r="Q98" s="302"/>
      <c r="R98" s="302"/>
      <c r="S98" s="302"/>
      <c r="T98" s="302"/>
      <c r="U98" s="302"/>
      <c r="V98" s="302"/>
      <c r="W98" s="302"/>
      <c r="X98" s="302"/>
    </row>
    <row r="99" spans="2:24">
      <c r="B99" s="295"/>
      <c r="C99" s="295"/>
      <c r="D99" s="316" t="s">
        <v>787</v>
      </c>
      <c r="E99" s="317"/>
      <c r="F99" s="317"/>
      <c r="G99" s="317"/>
      <c r="H99" s="317"/>
      <c r="I99" s="317"/>
      <c r="J99" s="317"/>
      <c r="K99" s="317"/>
      <c r="L99" s="317"/>
      <c r="M99" s="302"/>
      <c r="N99" s="311" t="s">
        <v>760</v>
      </c>
      <c r="O99" s="302"/>
      <c r="P99" s="302"/>
      <c r="Q99" s="302"/>
      <c r="R99" s="302"/>
      <c r="S99" s="302"/>
      <c r="T99" s="302"/>
      <c r="U99" s="302"/>
      <c r="V99" s="302"/>
      <c r="W99" s="302"/>
      <c r="X99" s="302"/>
    </row>
    <row r="100" spans="2:24">
      <c r="B100" s="295"/>
      <c r="C100" s="295"/>
      <c r="D100" s="317" t="s">
        <v>788</v>
      </c>
      <c r="E100" s="317"/>
      <c r="F100" s="317"/>
      <c r="G100" s="317"/>
      <c r="H100" s="317"/>
      <c r="I100" s="317"/>
      <c r="J100" s="317"/>
      <c r="K100" s="317"/>
      <c r="L100" s="317"/>
      <c r="M100" s="302"/>
      <c r="N100" s="302" t="s">
        <v>789</v>
      </c>
      <c r="O100" s="302"/>
      <c r="P100" s="302"/>
      <c r="Q100" s="302"/>
      <c r="R100" s="302"/>
      <c r="S100" s="302"/>
      <c r="T100" s="302"/>
      <c r="U100" s="302"/>
      <c r="V100" s="302"/>
      <c r="W100" s="302"/>
      <c r="X100" s="302"/>
    </row>
    <row r="101" spans="2:24">
      <c r="B101" s="295"/>
      <c r="C101" s="295"/>
      <c r="D101" s="317" t="s">
        <v>790</v>
      </c>
      <c r="E101" s="317"/>
      <c r="F101" s="317"/>
      <c r="G101" s="317"/>
      <c r="H101" s="317"/>
      <c r="I101" s="317"/>
      <c r="J101" s="317"/>
      <c r="K101" s="317"/>
      <c r="L101" s="317"/>
      <c r="M101" s="302"/>
      <c r="N101" s="302" t="s">
        <v>791</v>
      </c>
      <c r="O101" s="302"/>
      <c r="P101" s="302"/>
      <c r="Q101" s="302"/>
      <c r="R101" s="302"/>
      <c r="S101" s="302"/>
      <c r="T101" s="302"/>
      <c r="U101" s="302"/>
      <c r="V101" s="302"/>
      <c r="W101" s="302"/>
      <c r="X101" s="302"/>
    </row>
    <row r="102" spans="2:24">
      <c r="B102" s="295"/>
      <c r="C102" s="295"/>
      <c r="D102" s="317"/>
      <c r="E102" s="317" t="s">
        <v>792</v>
      </c>
      <c r="F102" s="317"/>
      <c r="G102" s="317"/>
      <c r="H102" s="317"/>
      <c r="I102" s="317"/>
      <c r="J102" s="317"/>
      <c r="K102" s="317"/>
      <c r="L102" s="317"/>
      <c r="M102" s="302"/>
      <c r="N102" s="311" t="s">
        <v>763</v>
      </c>
      <c r="O102" s="302"/>
      <c r="P102" s="302"/>
      <c r="Q102" s="302"/>
      <c r="R102" s="302"/>
      <c r="S102" s="302"/>
      <c r="T102" s="302"/>
      <c r="U102" s="302"/>
      <c r="V102" s="302"/>
      <c r="W102" s="302"/>
      <c r="X102" s="302"/>
    </row>
    <row r="103" spans="2:24">
      <c r="B103" s="295"/>
      <c r="C103" s="295"/>
      <c r="D103" s="317" t="s">
        <v>793</v>
      </c>
      <c r="E103" s="317"/>
      <c r="F103" s="317"/>
      <c r="G103" s="317"/>
      <c r="H103" s="317"/>
      <c r="I103" s="317"/>
      <c r="J103" s="317"/>
      <c r="K103" s="317"/>
      <c r="L103" s="317"/>
      <c r="M103" s="302"/>
      <c r="N103" s="302" t="s">
        <v>794</v>
      </c>
      <c r="O103" s="302"/>
      <c r="P103" s="302"/>
      <c r="Q103" s="302"/>
      <c r="R103" s="302"/>
      <c r="S103" s="302"/>
      <c r="T103" s="302"/>
      <c r="U103" s="302"/>
      <c r="V103" s="302"/>
      <c r="W103" s="302"/>
      <c r="X103" s="302"/>
    </row>
    <row r="104" spans="2:24">
      <c r="B104" s="295"/>
      <c r="C104" s="295"/>
      <c r="D104" s="317"/>
      <c r="E104" s="317" t="s">
        <v>795</v>
      </c>
      <c r="F104" s="317"/>
      <c r="G104" s="317"/>
      <c r="H104" s="317"/>
      <c r="I104" s="317"/>
      <c r="J104" s="317"/>
      <c r="K104" s="317"/>
      <c r="L104" s="317"/>
      <c r="M104" s="302"/>
      <c r="N104" s="302" t="s">
        <v>796</v>
      </c>
      <c r="O104" s="302"/>
      <c r="P104" s="302"/>
      <c r="Q104" s="302"/>
      <c r="R104" s="302"/>
      <c r="S104" s="302"/>
      <c r="T104" s="302"/>
      <c r="U104" s="302"/>
      <c r="V104" s="302"/>
      <c r="W104" s="302"/>
      <c r="X104" s="302"/>
    </row>
    <row r="105" spans="2:24">
      <c r="B105" s="295"/>
      <c r="C105" s="295"/>
      <c r="D105" s="317"/>
      <c r="E105" s="318" t="s">
        <v>797</v>
      </c>
      <c r="F105" s="317"/>
      <c r="G105" s="317"/>
      <c r="H105" s="317"/>
      <c r="I105" s="317"/>
      <c r="J105" s="317"/>
      <c r="K105" s="317"/>
      <c r="L105" s="317"/>
      <c r="M105" s="302"/>
      <c r="N105" s="311" t="s">
        <v>767</v>
      </c>
      <c r="O105" s="302"/>
      <c r="P105" s="302"/>
      <c r="Q105" s="302"/>
      <c r="R105" s="302"/>
      <c r="S105" s="302"/>
      <c r="T105" s="302"/>
      <c r="U105" s="302"/>
      <c r="V105" s="302"/>
      <c r="W105" s="302"/>
      <c r="X105" s="302"/>
    </row>
    <row r="106" spans="2:24">
      <c r="B106" s="295"/>
      <c r="C106" s="295"/>
      <c r="D106" s="317" t="s">
        <v>798</v>
      </c>
      <c r="E106" s="317"/>
      <c r="F106" s="317"/>
      <c r="G106" s="317"/>
      <c r="H106" s="317"/>
      <c r="I106" s="317"/>
      <c r="J106" s="317"/>
      <c r="K106" s="317"/>
      <c r="L106" s="317"/>
      <c r="M106" s="302"/>
      <c r="N106" s="302" t="s">
        <v>799</v>
      </c>
      <c r="O106" s="302"/>
      <c r="P106" s="302"/>
      <c r="Q106" s="302"/>
      <c r="R106" s="302"/>
      <c r="S106" s="302"/>
      <c r="T106" s="302"/>
      <c r="U106" s="302"/>
      <c r="V106" s="302"/>
      <c r="W106" s="302"/>
      <c r="X106" s="302"/>
    </row>
    <row r="107" spans="2:24">
      <c r="B107" s="295"/>
      <c r="C107" s="295"/>
      <c r="D107" s="317" t="s">
        <v>800</v>
      </c>
      <c r="E107" s="317"/>
      <c r="F107" s="317"/>
      <c r="G107" s="317"/>
      <c r="H107" s="317"/>
      <c r="I107" s="317"/>
      <c r="J107" s="317"/>
      <c r="K107" s="317"/>
      <c r="L107" s="317"/>
      <c r="M107" s="302"/>
      <c r="N107" s="302" t="s">
        <v>801</v>
      </c>
      <c r="O107" s="302"/>
      <c r="P107" s="302"/>
      <c r="Q107" s="302"/>
      <c r="R107" s="302"/>
      <c r="S107" s="302"/>
      <c r="T107" s="302"/>
      <c r="U107" s="302"/>
      <c r="V107" s="302"/>
      <c r="W107" s="302"/>
      <c r="X107" s="302"/>
    </row>
    <row r="108" spans="2:24">
      <c r="B108" s="295"/>
      <c r="C108" s="295"/>
      <c r="D108" s="317"/>
      <c r="E108" s="317" t="s">
        <v>802</v>
      </c>
      <c r="F108" s="317"/>
      <c r="G108" s="317"/>
      <c r="H108" s="317"/>
      <c r="I108" s="317"/>
      <c r="J108" s="317"/>
      <c r="K108" s="317"/>
      <c r="L108" s="317"/>
      <c r="M108" s="302"/>
      <c r="N108" s="302"/>
      <c r="O108" s="302"/>
      <c r="P108" s="302"/>
      <c r="Q108" s="302"/>
      <c r="R108" s="302"/>
      <c r="S108" s="302"/>
      <c r="T108" s="302"/>
      <c r="U108" s="302"/>
      <c r="V108" s="302"/>
      <c r="W108" s="302"/>
      <c r="X108" s="302"/>
    </row>
    <row r="109" spans="2:24">
      <c r="B109" s="295"/>
      <c r="C109" s="295"/>
      <c r="D109" s="317"/>
      <c r="E109" s="317"/>
      <c r="F109" s="317"/>
      <c r="G109" s="317"/>
      <c r="H109" s="317"/>
      <c r="I109" s="317"/>
      <c r="J109" s="317"/>
      <c r="K109" s="317"/>
      <c r="L109" s="317"/>
      <c r="M109" s="302"/>
      <c r="N109" s="302"/>
      <c r="O109" s="302"/>
      <c r="P109" s="302"/>
      <c r="Q109" s="302"/>
      <c r="R109" s="302"/>
      <c r="S109" s="302"/>
      <c r="T109" s="302"/>
      <c r="U109" s="302"/>
      <c r="V109" s="302"/>
      <c r="W109" s="302"/>
      <c r="X109" s="302"/>
    </row>
    <row r="110" spans="2:24">
      <c r="B110" s="295"/>
      <c r="C110" s="295"/>
      <c r="D110" s="317"/>
      <c r="E110" s="317"/>
      <c r="F110" s="317"/>
      <c r="G110" s="317"/>
      <c r="H110" s="317"/>
      <c r="I110" s="317"/>
      <c r="J110" s="317"/>
      <c r="K110" s="317"/>
      <c r="L110" s="317"/>
      <c r="M110" s="302"/>
      <c r="N110" s="302"/>
      <c r="O110" s="302"/>
      <c r="P110" s="302"/>
      <c r="Q110" s="302"/>
      <c r="R110" s="302"/>
      <c r="S110" s="302"/>
      <c r="T110" s="302"/>
      <c r="U110" s="302"/>
      <c r="V110" s="302"/>
      <c r="W110" s="302"/>
      <c r="X110" s="302"/>
    </row>
    <row r="111" spans="2:24">
      <c r="B111" s="295"/>
      <c r="C111" s="295"/>
      <c r="D111" s="317"/>
      <c r="E111" s="317"/>
      <c r="F111" s="317"/>
      <c r="G111" s="317"/>
      <c r="H111" s="317"/>
      <c r="I111" s="317"/>
      <c r="J111" s="317"/>
      <c r="K111" s="317"/>
      <c r="L111" s="317"/>
      <c r="M111" s="302"/>
      <c r="N111" s="302"/>
      <c r="O111" s="302"/>
      <c r="P111" s="302"/>
      <c r="Q111" s="302"/>
      <c r="R111" s="302"/>
      <c r="S111" s="302"/>
      <c r="T111" s="302"/>
      <c r="U111" s="302"/>
      <c r="V111" s="302"/>
      <c r="W111" s="302"/>
      <c r="X111" s="302"/>
    </row>
    <row r="112" spans="2:24">
      <c r="B112" s="295"/>
      <c r="C112" s="295"/>
      <c r="D112" s="317"/>
      <c r="E112" s="317"/>
      <c r="F112" s="317"/>
      <c r="G112" s="317"/>
      <c r="H112" s="317"/>
      <c r="I112" s="317"/>
      <c r="J112" s="317"/>
      <c r="K112" s="317"/>
      <c r="L112" s="317"/>
      <c r="M112" s="302"/>
      <c r="N112" s="302"/>
      <c r="O112" s="302"/>
      <c r="P112" s="302"/>
      <c r="Q112" s="302"/>
      <c r="R112" s="302"/>
      <c r="S112" s="302"/>
      <c r="T112" s="302"/>
      <c r="U112" s="302"/>
      <c r="V112" s="302"/>
      <c r="W112" s="302"/>
      <c r="X112" s="302"/>
    </row>
    <row r="113" spans="2:24">
      <c r="B113" s="295"/>
      <c r="C113" s="295"/>
      <c r="D113" s="317"/>
      <c r="E113" s="317"/>
      <c r="F113" s="317"/>
      <c r="G113" s="317"/>
      <c r="H113" s="317"/>
      <c r="I113" s="317"/>
      <c r="J113" s="317"/>
      <c r="K113" s="317"/>
      <c r="L113" s="317"/>
      <c r="M113" s="302"/>
      <c r="N113" s="302"/>
      <c r="O113" s="302"/>
      <c r="P113" s="302"/>
      <c r="Q113" s="302"/>
      <c r="R113" s="302"/>
      <c r="S113" s="302"/>
      <c r="T113" s="302"/>
      <c r="U113" s="302"/>
      <c r="V113" s="302"/>
      <c r="W113" s="302"/>
      <c r="X113" s="302"/>
    </row>
    <row r="114" spans="2:24">
      <c r="B114" s="295"/>
      <c r="C114" s="295"/>
      <c r="D114" s="317"/>
      <c r="E114" s="317"/>
      <c r="F114" s="317"/>
      <c r="G114" s="317"/>
      <c r="H114" s="317"/>
      <c r="I114" s="317"/>
      <c r="J114" s="317"/>
      <c r="K114" s="317"/>
      <c r="L114" s="317"/>
      <c r="M114" s="302"/>
      <c r="N114" s="302"/>
      <c r="O114" s="302"/>
      <c r="P114" s="302"/>
      <c r="Q114" s="302"/>
      <c r="R114" s="302"/>
      <c r="S114" s="302"/>
      <c r="T114" s="302"/>
      <c r="U114" s="302"/>
      <c r="V114" s="302"/>
      <c r="W114" s="302"/>
      <c r="X114" s="302"/>
    </row>
    <row r="115" spans="2:24">
      <c r="B115" s="295"/>
      <c r="C115" s="295"/>
      <c r="D115" s="317"/>
      <c r="E115" s="317"/>
      <c r="F115" s="317"/>
      <c r="G115" s="317"/>
      <c r="H115" s="317"/>
      <c r="I115" s="317"/>
      <c r="J115" s="317"/>
      <c r="K115" s="317"/>
      <c r="L115" s="317"/>
      <c r="M115" s="302"/>
      <c r="N115" s="302"/>
      <c r="O115" s="302"/>
      <c r="P115" s="302"/>
      <c r="Q115" s="302"/>
      <c r="R115" s="302"/>
      <c r="S115" s="302"/>
      <c r="T115" s="302"/>
      <c r="U115" s="302"/>
      <c r="V115" s="302"/>
      <c r="W115" s="302"/>
      <c r="X115" s="302"/>
    </row>
    <row r="116" spans="2:24">
      <c r="B116" s="295"/>
      <c r="C116" s="295"/>
      <c r="D116" s="317"/>
      <c r="E116" s="317"/>
      <c r="F116" s="317"/>
      <c r="G116" s="317"/>
      <c r="H116" s="317"/>
      <c r="I116" s="317"/>
      <c r="J116" s="317"/>
      <c r="K116" s="317"/>
      <c r="L116" s="317"/>
      <c r="M116" s="302"/>
      <c r="N116" s="302"/>
      <c r="O116" s="302"/>
      <c r="P116" s="302"/>
      <c r="Q116" s="302"/>
      <c r="R116" s="302"/>
      <c r="S116" s="302"/>
      <c r="T116" s="302"/>
      <c r="U116" s="302"/>
      <c r="V116" s="302"/>
      <c r="W116" s="302"/>
      <c r="X116" s="302"/>
    </row>
    <row r="117" spans="2:24">
      <c r="B117" s="295"/>
      <c r="C117" s="295"/>
      <c r="D117" s="317"/>
      <c r="E117" s="317"/>
      <c r="F117" s="317"/>
      <c r="G117" s="317"/>
      <c r="H117" s="317"/>
      <c r="I117" s="317"/>
      <c r="J117" s="317"/>
      <c r="K117" s="317"/>
      <c r="L117" s="317"/>
      <c r="M117" s="302"/>
      <c r="N117" s="302"/>
      <c r="O117" s="302"/>
      <c r="P117" s="302"/>
      <c r="Q117" s="302"/>
      <c r="R117" s="302"/>
      <c r="S117" s="302"/>
      <c r="T117" s="302"/>
      <c r="U117" s="302"/>
      <c r="V117" s="302"/>
      <c r="W117" s="302"/>
      <c r="X117" s="302"/>
    </row>
    <row r="118" spans="2:24">
      <c r="B118" s="295"/>
      <c r="C118" s="295"/>
      <c r="D118" s="317"/>
      <c r="E118" s="317"/>
      <c r="F118" s="317"/>
      <c r="G118" s="317"/>
      <c r="H118" s="317"/>
      <c r="I118" s="317"/>
      <c r="J118" s="317"/>
      <c r="K118" s="317"/>
      <c r="L118" s="317"/>
      <c r="M118" s="302"/>
      <c r="N118" s="302"/>
      <c r="O118" s="302"/>
      <c r="P118" s="302"/>
      <c r="Q118" s="302"/>
      <c r="R118" s="302"/>
      <c r="S118" s="302"/>
      <c r="T118" s="302"/>
      <c r="U118" s="302"/>
      <c r="V118" s="302"/>
      <c r="W118" s="302"/>
      <c r="X118" s="302"/>
    </row>
    <row r="119" spans="2:24">
      <c r="B119" s="295"/>
      <c r="C119" s="295"/>
      <c r="D119" s="317"/>
      <c r="E119" s="317"/>
      <c r="F119" s="317"/>
      <c r="G119" s="317"/>
      <c r="H119" s="317"/>
      <c r="I119" s="317"/>
      <c r="J119" s="317"/>
      <c r="K119" s="317"/>
      <c r="L119" s="317"/>
      <c r="M119" s="302"/>
      <c r="N119" s="302"/>
      <c r="O119" s="302"/>
      <c r="P119" s="302"/>
      <c r="Q119" s="302"/>
      <c r="R119" s="302"/>
      <c r="S119" s="302"/>
      <c r="T119" s="302"/>
      <c r="U119" s="302"/>
      <c r="V119" s="302"/>
      <c r="W119" s="302"/>
      <c r="X119" s="302"/>
    </row>
    <row r="120" spans="2:24">
      <c r="B120" s="295"/>
      <c r="C120" s="295"/>
      <c r="D120" s="317"/>
      <c r="E120" s="317"/>
      <c r="F120" s="317"/>
      <c r="G120" s="317"/>
      <c r="H120" s="317"/>
      <c r="I120" s="317"/>
      <c r="J120" s="317"/>
      <c r="K120" s="317"/>
      <c r="L120" s="317"/>
      <c r="M120" s="302"/>
      <c r="N120" s="302"/>
      <c r="O120" s="302"/>
      <c r="P120" s="302"/>
      <c r="Q120" s="302"/>
      <c r="R120" s="302"/>
      <c r="S120" s="302"/>
      <c r="T120" s="302"/>
      <c r="U120" s="302"/>
      <c r="V120" s="302"/>
      <c r="W120" s="302"/>
      <c r="X120" s="302"/>
    </row>
    <row r="121" spans="2:24">
      <c r="B121" s="295"/>
      <c r="C121" s="295"/>
      <c r="D121" s="317"/>
      <c r="E121" s="317"/>
      <c r="F121" s="317"/>
      <c r="G121" s="317"/>
      <c r="H121" s="317"/>
      <c r="I121" s="317"/>
      <c r="J121" s="317"/>
      <c r="K121" s="317"/>
      <c r="L121" s="317"/>
      <c r="M121" s="302"/>
      <c r="N121" s="302"/>
      <c r="O121" s="319" t="s">
        <v>760</v>
      </c>
      <c r="P121" s="320"/>
      <c r="Q121" s="320"/>
      <c r="R121" s="320"/>
      <c r="S121" s="320"/>
      <c r="T121" s="320"/>
      <c r="U121" s="320"/>
      <c r="V121" s="320"/>
      <c r="W121" s="320"/>
      <c r="X121" s="320"/>
    </row>
    <row r="122" spans="2:24">
      <c r="B122" s="295"/>
      <c r="C122" s="295"/>
      <c r="D122" s="317"/>
      <c r="E122" s="317"/>
      <c r="F122" s="317"/>
      <c r="G122" s="317"/>
      <c r="H122" s="317"/>
      <c r="I122" s="317"/>
      <c r="J122" s="317"/>
      <c r="K122" s="317"/>
      <c r="L122" s="317"/>
      <c r="M122" s="302"/>
      <c r="N122" s="302"/>
      <c r="O122" s="320" t="s">
        <v>803</v>
      </c>
      <c r="P122" s="320"/>
      <c r="Q122" s="320"/>
      <c r="R122" s="320"/>
      <c r="S122" s="320"/>
      <c r="T122" s="320"/>
      <c r="U122" s="320"/>
      <c r="V122" s="320"/>
      <c r="W122" s="320"/>
      <c r="X122" s="320"/>
    </row>
    <row r="123" spans="2:24">
      <c r="B123" s="295"/>
      <c r="C123" s="295"/>
      <c r="D123" s="317"/>
      <c r="E123" s="317"/>
      <c r="F123" s="317"/>
      <c r="G123" s="317"/>
      <c r="H123" s="317"/>
      <c r="I123" s="317"/>
      <c r="J123" s="317"/>
      <c r="K123" s="317"/>
      <c r="L123" s="317"/>
      <c r="M123" s="302"/>
      <c r="N123" s="302"/>
      <c r="O123" s="320" t="s">
        <v>804</v>
      </c>
      <c r="P123" s="320"/>
      <c r="Q123" s="320"/>
      <c r="R123" s="320"/>
      <c r="S123" s="320"/>
      <c r="T123" s="320"/>
      <c r="U123" s="320"/>
      <c r="V123" s="320"/>
      <c r="W123" s="320"/>
      <c r="X123" s="320"/>
    </row>
    <row r="124" spans="2:24">
      <c r="B124" s="295"/>
      <c r="C124" s="295"/>
      <c r="D124" s="317"/>
      <c r="E124" s="317"/>
      <c r="F124" s="317"/>
      <c r="G124" s="317"/>
      <c r="H124" s="317"/>
      <c r="I124" s="317"/>
      <c r="J124" s="317"/>
      <c r="K124" s="317"/>
      <c r="L124" s="317"/>
      <c r="M124" s="302"/>
      <c r="N124" s="302"/>
      <c r="O124" s="320" t="s">
        <v>805</v>
      </c>
      <c r="P124" s="320"/>
      <c r="Q124" s="320"/>
      <c r="R124" s="320"/>
      <c r="S124" s="320"/>
      <c r="T124" s="320"/>
      <c r="U124" s="320"/>
      <c r="V124" s="320"/>
      <c r="W124" s="320"/>
      <c r="X124" s="320"/>
    </row>
    <row r="125" spans="2:24">
      <c r="B125" s="295"/>
      <c r="C125" s="295"/>
      <c r="D125" s="317"/>
      <c r="E125" s="317"/>
      <c r="F125" s="317"/>
      <c r="G125" s="317"/>
      <c r="H125" s="317"/>
      <c r="I125" s="317"/>
      <c r="J125" s="317"/>
      <c r="K125" s="317"/>
      <c r="L125" s="317"/>
      <c r="M125" s="302"/>
      <c r="N125" s="302"/>
      <c r="O125" s="320"/>
      <c r="P125" s="320" t="s">
        <v>806</v>
      </c>
      <c r="Q125" s="320"/>
      <c r="R125" s="320"/>
      <c r="S125" s="320"/>
      <c r="T125" s="320"/>
      <c r="U125" s="320"/>
      <c r="V125" s="320"/>
      <c r="W125" s="320"/>
      <c r="X125" s="320"/>
    </row>
    <row r="126" spans="2:24">
      <c r="B126" s="295"/>
      <c r="C126" s="295"/>
      <c r="D126" s="317"/>
      <c r="E126" s="317"/>
      <c r="F126" s="317"/>
      <c r="G126" s="317"/>
      <c r="H126" s="317"/>
      <c r="I126" s="317"/>
      <c r="J126" s="317"/>
      <c r="K126" s="317"/>
      <c r="L126" s="317"/>
      <c r="M126" s="302"/>
      <c r="N126" s="302"/>
      <c r="O126" s="320"/>
      <c r="P126" s="320"/>
      <c r="Q126" s="320" t="s">
        <v>807</v>
      </c>
      <c r="R126" s="320"/>
      <c r="S126" s="320"/>
      <c r="T126" s="320"/>
      <c r="U126" s="320"/>
      <c r="V126" s="320"/>
      <c r="W126" s="320"/>
      <c r="X126" s="320"/>
    </row>
    <row r="127" spans="2:24">
      <c r="B127" s="295"/>
      <c r="C127" s="295"/>
      <c r="D127" s="317"/>
      <c r="E127" s="317"/>
      <c r="F127" s="317"/>
      <c r="G127" s="317"/>
      <c r="H127" s="317"/>
      <c r="I127" s="317"/>
      <c r="J127" s="317"/>
      <c r="K127" s="317"/>
      <c r="L127" s="317"/>
      <c r="M127" s="302"/>
      <c r="N127" s="302"/>
      <c r="O127" s="320"/>
      <c r="P127" s="320"/>
      <c r="Q127" s="320"/>
      <c r="R127" s="320" t="s">
        <v>808</v>
      </c>
      <c r="S127" s="320"/>
      <c r="T127" s="320"/>
      <c r="U127" s="320"/>
      <c r="V127" s="320"/>
      <c r="W127" s="320"/>
      <c r="X127" s="320"/>
    </row>
    <row r="128" spans="2:24">
      <c r="B128" s="295"/>
      <c r="C128" s="295"/>
      <c r="D128" s="317"/>
      <c r="E128" s="317"/>
      <c r="F128" s="317"/>
      <c r="G128" s="317"/>
      <c r="H128" s="317"/>
      <c r="I128" s="317"/>
      <c r="J128" s="317"/>
      <c r="K128" s="317"/>
      <c r="L128" s="317"/>
      <c r="M128" s="302"/>
      <c r="N128" s="302"/>
      <c r="O128" s="320"/>
      <c r="P128" s="320" t="s">
        <v>809</v>
      </c>
      <c r="Q128" s="320"/>
      <c r="R128" s="320"/>
      <c r="S128" s="320"/>
      <c r="T128" s="320"/>
      <c r="U128" s="320"/>
      <c r="V128" s="320"/>
      <c r="W128" s="320"/>
      <c r="X128" s="320"/>
    </row>
    <row r="129" spans="2:24">
      <c r="B129" s="295"/>
      <c r="C129" s="295"/>
      <c r="D129" s="317"/>
      <c r="E129" s="317"/>
      <c r="F129" s="317"/>
      <c r="G129" s="317"/>
      <c r="H129" s="317"/>
      <c r="I129" s="317"/>
      <c r="J129" s="317"/>
      <c r="K129" s="317"/>
      <c r="L129" s="317"/>
      <c r="M129" s="302"/>
      <c r="N129" s="302"/>
      <c r="O129" s="320"/>
      <c r="P129" s="320"/>
      <c r="Q129" s="320" t="s">
        <v>810</v>
      </c>
      <c r="R129" s="320"/>
      <c r="S129" s="320"/>
      <c r="T129" s="320"/>
      <c r="U129" s="320"/>
      <c r="V129" s="320"/>
      <c r="W129" s="320"/>
      <c r="X129" s="320"/>
    </row>
    <row r="130" spans="2:24">
      <c r="B130" s="295"/>
      <c r="C130" s="295"/>
      <c r="D130" s="317"/>
      <c r="E130" s="317"/>
      <c r="F130" s="317"/>
      <c r="G130" s="317"/>
      <c r="H130" s="317"/>
      <c r="I130" s="317"/>
      <c r="J130" s="317"/>
      <c r="K130" s="317"/>
      <c r="L130" s="317"/>
      <c r="M130" s="302"/>
      <c r="N130" s="302"/>
      <c r="O130" s="320"/>
      <c r="P130" s="320" t="s">
        <v>811</v>
      </c>
      <c r="Q130" s="320"/>
      <c r="R130" s="320"/>
      <c r="S130" s="320"/>
      <c r="T130" s="320"/>
      <c r="U130" s="320"/>
      <c r="V130" s="320"/>
      <c r="W130" s="320"/>
      <c r="X130" s="320"/>
    </row>
    <row r="131" spans="2:24">
      <c r="B131" s="295"/>
      <c r="C131" s="295"/>
      <c r="D131" s="317"/>
      <c r="E131" s="317"/>
      <c r="F131" s="317"/>
      <c r="G131" s="317"/>
      <c r="H131" s="317"/>
      <c r="I131" s="317"/>
      <c r="J131" s="317"/>
      <c r="K131" s="317"/>
      <c r="L131" s="317"/>
      <c r="M131" s="302"/>
      <c r="N131" s="302"/>
      <c r="O131" s="320"/>
      <c r="P131" s="320"/>
      <c r="Q131" s="320"/>
      <c r="R131" s="320"/>
      <c r="S131" s="320"/>
      <c r="T131" s="320"/>
      <c r="U131" s="320"/>
      <c r="V131" s="320"/>
      <c r="W131" s="320"/>
      <c r="X131" s="320"/>
    </row>
    <row r="132" spans="2:24">
      <c r="B132" s="295"/>
      <c r="C132" s="295"/>
      <c r="D132" s="317"/>
      <c r="E132" s="317"/>
      <c r="F132" s="317"/>
      <c r="G132" s="317"/>
      <c r="H132" s="317"/>
      <c r="I132" s="317"/>
      <c r="J132" s="317"/>
      <c r="K132" s="317"/>
      <c r="L132" s="317"/>
      <c r="M132" s="302"/>
      <c r="N132" s="302"/>
      <c r="O132" s="320"/>
      <c r="P132" s="320"/>
      <c r="Q132" s="320"/>
      <c r="R132" s="320"/>
      <c r="S132" s="320"/>
      <c r="T132" s="320"/>
      <c r="U132" s="320"/>
      <c r="V132" s="320"/>
      <c r="W132" s="320"/>
      <c r="X132" s="320"/>
    </row>
    <row r="133" spans="2:24">
      <c r="B133" s="295"/>
      <c r="C133" s="295"/>
      <c r="D133" s="317"/>
      <c r="E133" s="317"/>
      <c r="F133" s="317"/>
      <c r="G133" s="317"/>
      <c r="H133" s="317"/>
      <c r="I133" s="317"/>
      <c r="J133" s="317"/>
      <c r="K133" s="317"/>
      <c r="L133" s="317"/>
      <c r="M133" s="302"/>
      <c r="N133" s="302"/>
      <c r="O133" s="320"/>
      <c r="P133" s="320"/>
      <c r="Q133" s="320"/>
      <c r="R133" s="320"/>
      <c r="S133" s="320"/>
      <c r="T133" s="320"/>
      <c r="U133" s="320"/>
      <c r="V133" s="320"/>
      <c r="W133" s="320"/>
      <c r="X133" s="320"/>
    </row>
    <row r="134" spans="2:24">
      <c r="B134" s="295"/>
      <c r="C134" s="295"/>
      <c r="D134" s="317"/>
      <c r="E134" s="317"/>
      <c r="F134" s="317"/>
      <c r="G134" s="317"/>
      <c r="H134" s="317"/>
      <c r="I134" s="317"/>
      <c r="J134" s="317"/>
      <c r="K134" s="317"/>
      <c r="L134" s="317"/>
      <c r="M134" s="302"/>
      <c r="N134" s="302"/>
      <c r="O134" s="320"/>
      <c r="P134" s="320"/>
      <c r="Q134" s="320"/>
      <c r="R134" s="320"/>
      <c r="S134" s="320"/>
      <c r="T134" s="320"/>
      <c r="U134" s="320"/>
      <c r="V134" s="320"/>
      <c r="W134" s="320"/>
      <c r="X134" s="320"/>
    </row>
    <row r="135" spans="2:24">
      <c r="B135" s="295"/>
      <c r="C135" s="295"/>
      <c r="D135" s="317"/>
      <c r="E135" s="317"/>
      <c r="F135" s="317"/>
      <c r="G135" s="317"/>
      <c r="H135" s="317"/>
      <c r="I135" s="317"/>
      <c r="J135" s="317"/>
      <c r="K135" s="317"/>
      <c r="L135" s="317"/>
      <c r="M135" s="302"/>
      <c r="N135" s="302"/>
      <c r="O135" s="320"/>
      <c r="P135" s="320"/>
      <c r="Q135" s="320"/>
      <c r="R135" s="320"/>
      <c r="S135" s="320"/>
      <c r="T135" s="320"/>
      <c r="U135" s="320"/>
      <c r="V135" s="320"/>
      <c r="W135" s="320"/>
      <c r="X135" s="320"/>
    </row>
    <row r="136" spans="2:24">
      <c r="B136" s="295"/>
      <c r="C136" s="295"/>
      <c r="D136" s="317"/>
      <c r="E136" s="317"/>
      <c r="F136" s="317"/>
      <c r="G136" s="317"/>
      <c r="H136" s="317"/>
      <c r="I136" s="317"/>
      <c r="J136" s="317"/>
      <c r="K136" s="317"/>
      <c r="L136" s="317"/>
      <c r="M136" s="302"/>
      <c r="N136" s="302"/>
      <c r="O136" s="320"/>
      <c r="P136" s="320"/>
      <c r="Q136" s="320"/>
      <c r="R136" s="320"/>
      <c r="S136" s="320"/>
      <c r="T136" s="320"/>
      <c r="U136" s="320"/>
      <c r="V136" s="320"/>
      <c r="W136" s="320"/>
      <c r="X136" s="320"/>
    </row>
    <row r="137" spans="2:24">
      <c r="B137" s="295"/>
      <c r="C137" s="295"/>
      <c r="D137" s="317"/>
      <c r="E137" s="317"/>
      <c r="F137" s="317"/>
      <c r="G137" s="317"/>
      <c r="H137" s="317"/>
      <c r="I137" s="317"/>
      <c r="J137" s="317"/>
      <c r="K137" s="317"/>
      <c r="L137" s="317"/>
      <c r="M137" s="302"/>
      <c r="N137" s="302"/>
      <c r="O137" s="320"/>
      <c r="P137" s="320"/>
      <c r="Q137" s="320"/>
      <c r="R137" s="320"/>
      <c r="S137" s="320"/>
      <c r="T137" s="320"/>
      <c r="U137" s="320"/>
      <c r="V137" s="320"/>
      <c r="W137" s="320"/>
      <c r="X137" s="320"/>
    </row>
    <row r="138" spans="2:24">
      <c r="B138" s="295"/>
      <c r="C138" s="295"/>
      <c r="D138" s="317"/>
      <c r="E138" s="317"/>
      <c r="F138" s="317"/>
      <c r="G138" s="317"/>
      <c r="H138" s="317"/>
      <c r="I138" s="317"/>
      <c r="J138" s="317"/>
      <c r="K138" s="317"/>
      <c r="L138" s="317"/>
      <c r="M138" s="302"/>
      <c r="N138" s="302"/>
      <c r="O138" s="320"/>
      <c r="P138" s="320"/>
      <c r="Q138" s="320"/>
      <c r="R138" s="320"/>
      <c r="S138" s="320"/>
      <c r="T138" s="320"/>
      <c r="U138" s="320"/>
      <c r="V138" s="320"/>
      <c r="W138" s="320"/>
      <c r="X138" s="320"/>
    </row>
    <row r="139" spans="2:24">
      <c r="B139" s="295"/>
      <c r="C139" s="295"/>
      <c r="D139" s="317"/>
      <c r="E139" s="317"/>
      <c r="F139" s="317"/>
      <c r="G139" s="317"/>
      <c r="H139" s="317"/>
      <c r="I139" s="317"/>
      <c r="J139" s="317"/>
      <c r="K139" s="317"/>
      <c r="L139" s="317"/>
      <c r="M139" s="302"/>
      <c r="N139" s="302"/>
      <c r="O139" s="320"/>
      <c r="P139" s="320"/>
      <c r="Q139" s="320"/>
      <c r="R139" s="320"/>
      <c r="S139" s="320"/>
      <c r="T139" s="320"/>
      <c r="U139" s="320"/>
      <c r="V139" s="320"/>
      <c r="W139" s="320"/>
      <c r="X139" s="320"/>
    </row>
    <row r="140" spans="2:24">
      <c r="B140" s="295"/>
      <c r="C140" s="295"/>
      <c r="D140" s="317"/>
      <c r="E140" s="317"/>
      <c r="F140" s="317"/>
      <c r="G140" s="317"/>
      <c r="H140" s="317"/>
      <c r="I140" s="317"/>
      <c r="J140" s="317"/>
      <c r="K140" s="317"/>
      <c r="L140" s="317"/>
      <c r="M140" s="302"/>
      <c r="N140" s="302"/>
      <c r="O140" s="320"/>
      <c r="P140" s="320"/>
      <c r="Q140" s="320"/>
      <c r="R140" s="320"/>
      <c r="S140" s="320"/>
      <c r="T140" s="320"/>
      <c r="U140" s="320"/>
      <c r="V140" s="320"/>
      <c r="W140" s="320"/>
      <c r="X140" s="320"/>
    </row>
    <row r="141" spans="2:24">
      <c r="B141" s="295"/>
      <c r="C141" s="295"/>
      <c r="D141" s="317"/>
      <c r="E141" s="317"/>
      <c r="F141" s="317"/>
      <c r="G141" s="317"/>
      <c r="H141" s="317"/>
      <c r="I141" s="317"/>
      <c r="J141" s="317"/>
      <c r="K141" s="317"/>
      <c r="L141" s="317"/>
      <c r="M141" s="302"/>
      <c r="N141" s="302"/>
      <c r="O141" s="320"/>
      <c r="P141" s="320"/>
      <c r="Q141" s="320"/>
      <c r="R141" s="320"/>
      <c r="S141" s="320"/>
      <c r="T141" s="320"/>
      <c r="U141" s="320"/>
      <c r="V141" s="320"/>
      <c r="W141" s="320"/>
      <c r="X141" s="320"/>
    </row>
    <row r="142" spans="2:24">
      <c r="B142" s="295"/>
      <c r="C142" s="295"/>
      <c r="D142" s="317"/>
      <c r="E142" s="317"/>
      <c r="F142" s="317"/>
      <c r="G142" s="317"/>
      <c r="H142" s="317"/>
      <c r="I142" s="317"/>
      <c r="J142" s="317"/>
      <c r="K142" s="317"/>
      <c r="L142" s="317"/>
      <c r="M142" s="302"/>
      <c r="N142" s="302"/>
      <c r="O142" s="320"/>
      <c r="P142" s="320"/>
      <c r="Q142" s="320"/>
      <c r="R142" s="320"/>
      <c r="S142" s="320"/>
      <c r="T142" s="320"/>
      <c r="U142" s="320"/>
      <c r="V142" s="320"/>
      <c r="W142" s="320"/>
      <c r="X142" s="320"/>
    </row>
    <row r="143" spans="2:24">
      <c r="B143" s="295"/>
      <c r="C143" s="295"/>
      <c r="D143" s="317"/>
      <c r="E143" s="317"/>
      <c r="F143" s="317"/>
      <c r="G143" s="317"/>
      <c r="H143" s="317"/>
      <c r="I143" s="317"/>
      <c r="J143" s="317"/>
      <c r="K143" s="317"/>
      <c r="L143" s="317"/>
      <c r="M143" s="302"/>
      <c r="N143" s="302"/>
      <c r="O143" s="320"/>
      <c r="P143" s="320"/>
      <c r="Q143" s="320"/>
      <c r="R143" s="320"/>
      <c r="S143" s="320"/>
      <c r="T143" s="320"/>
      <c r="U143" s="320"/>
      <c r="V143" s="320"/>
      <c r="W143" s="320"/>
      <c r="X143" s="320"/>
    </row>
    <row r="144" spans="2:24">
      <c r="B144" s="295"/>
      <c r="C144" s="295"/>
      <c r="D144" s="317"/>
      <c r="E144" s="317"/>
      <c r="F144" s="317"/>
      <c r="G144" s="317"/>
      <c r="H144" s="317"/>
      <c r="I144" s="317"/>
      <c r="J144" s="317"/>
      <c r="K144" s="317"/>
      <c r="L144" s="317"/>
      <c r="M144" s="302"/>
      <c r="N144" s="302"/>
      <c r="O144" s="320"/>
      <c r="P144" s="320"/>
      <c r="Q144" s="320"/>
      <c r="R144" s="320"/>
      <c r="S144" s="320"/>
      <c r="T144" s="320"/>
      <c r="U144" s="320"/>
      <c r="V144" s="320"/>
      <c r="W144" s="320"/>
      <c r="X144" s="320"/>
    </row>
    <row r="145" spans="2:24">
      <c r="B145" s="295"/>
      <c r="C145" s="295"/>
      <c r="D145" s="317"/>
      <c r="E145" s="317"/>
      <c r="F145" s="317"/>
      <c r="G145" s="317"/>
      <c r="H145" s="317"/>
      <c r="I145" s="317"/>
      <c r="J145" s="317"/>
      <c r="K145" s="317"/>
      <c r="L145" s="317"/>
      <c r="M145" s="302"/>
      <c r="N145" s="302"/>
      <c r="O145" s="320"/>
      <c r="P145" s="320"/>
      <c r="Q145" s="320"/>
      <c r="R145" s="320"/>
      <c r="S145" s="320"/>
      <c r="T145" s="320"/>
      <c r="U145" s="320"/>
      <c r="V145" s="320"/>
      <c r="W145" s="320"/>
      <c r="X145" s="320"/>
    </row>
    <row r="146" spans="2:24">
      <c r="B146" s="295"/>
      <c r="C146" s="295"/>
      <c r="D146" s="317"/>
      <c r="E146" s="317"/>
      <c r="F146" s="317"/>
      <c r="G146" s="317"/>
      <c r="H146" s="317"/>
      <c r="I146" s="317"/>
      <c r="J146" s="317"/>
      <c r="K146" s="317"/>
      <c r="L146" s="317"/>
      <c r="M146" s="302"/>
      <c r="N146" s="302"/>
      <c r="O146" s="320"/>
      <c r="P146" s="320"/>
      <c r="Q146" s="320"/>
      <c r="R146" s="320"/>
      <c r="S146" s="320"/>
      <c r="T146" s="320"/>
      <c r="U146" s="320"/>
      <c r="V146" s="320"/>
      <c r="W146" s="320"/>
      <c r="X146" s="320"/>
    </row>
    <row r="147" spans="2:24">
      <c r="B147" s="295"/>
      <c r="C147" s="295"/>
      <c r="D147" s="317"/>
      <c r="E147" s="317"/>
      <c r="F147" s="317"/>
      <c r="G147" s="317"/>
      <c r="H147" s="317"/>
      <c r="I147" s="317"/>
      <c r="J147" s="317"/>
      <c r="K147" s="317"/>
      <c r="L147" s="317"/>
      <c r="M147" s="302"/>
      <c r="N147" s="302"/>
      <c r="O147" s="320"/>
      <c r="P147" s="320"/>
      <c r="Q147" s="320"/>
      <c r="R147" s="320"/>
      <c r="S147" s="320"/>
      <c r="T147" s="320"/>
      <c r="U147" s="320"/>
      <c r="V147" s="320"/>
      <c r="W147" s="320"/>
      <c r="X147" s="320"/>
    </row>
    <row r="148" spans="2:24">
      <c r="B148" s="295"/>
      <c r="C148" s="295"/>
      <c r="D148" s="317"/>
      <c r="E148" s="317"/>
      <c r="F148" s="317"/>
      <c r="G148" s="317"/>
      <c r="H148" s="317"/>
      <c r="I148" s="317"/>
      <c r="J148" s="317"/>
      <c r="K148" s="317"/>
      <c r="L148" s="317"/>
      <c r="M148" s="302"/>
      <c r="N148" s="302"/>
      <c r="O148" s="320"/>
      <c r="P148" s="320"/>
      <c r="Q148" s="320"/>
      <c r="R148" s="320"/>
      <c r="S148" s="320"/>
      <c r="T148" s="320"/>
      <c r="U148" s="320"/>
      <c r="V148" s="320"/>
      <c r="W148" s="320"/>
      <c r="X148" s="320"/>
    </row>
    <row r="149" spans="2:24">
      <c r="B149" s="295"/>
      <c r="C149" s="295"/>
      <c r="D149" s="317"/>
      <c r="E149" s="317"/>
      <c r="F149" s="317"/>
      <c r="G149" s="317"/>
      <c r="H149" s="317"/>
      <c r="I149" s="317"/>
      <c r="J149" s="317"/>
      <c r="K149" s="317"/>
      <c r="L149" s="317"/>
      <c r="M149" s="302"/>
      <c r="N149" s="302"/>
      <c r="O149" s="320"/>
      <c r="P149" s="320"/>
      <c r="Q149" s="320"/>
      <c r="R149" s="320"/>
      <c r="S149" s="320"/>
      <c r="T149" s="320"/>
      <c r="U149" s="320"/>
      <c r="V149" s="320"/>
      <c r="W149" s="320"/>
      <c r="X149" s="320"/>
    </row>
    <row r="150" spans="2:24">
      <c r="B150" s="295"/>
      <c r="C150" s="295"/>
      <c r="D150" s="317"/>
      <c r="E150" s="317"/>
      <c r="F150" s="317"/>
      <c r="G150" s="317"/>
      <c r="H150" s="317"/>
      <c r="I150" s="317"/>
      <c r="J150" s="317"/>
      <c r="K150" s="317"/>
      <c r="L150" s="317"/>
      <c r="M150" s="302"/>
      <c r="N150" s="302"/>
      <c r="O150" s="320"/>
      <c r="P150" s="320"/>
      <c r="Q150" s="320"/>
      <c r="R150" s="320"/>
      <c r="S150" s="320"/>
      <c r="T150" s="320"/>
      <c r="U150" s="320"/>
      <c r="V150" s="320"/>
      <c r="W150" s="320"/>
      <c r="X150" s="320"/>
    </row>
    <row r="151" spans="2:24">
      <c r="B151" s="295"/>
      <c r="C151" s="295"/>
      <c r="D151" s="317"/>
      <c r="E151" s="317"/>
      <c r="F151" s="317"/>
      <c r="G151" s="317"/>
      <c r="H151" s="317"/>
      <c r="I151" s="317"/>
      <c r="J151" s="317"/>
      <c r="K151" s="317"/>
      <c r="L151" s="317"/>
      <c r="M151" s="302"/>
      <c r="N151" s="302"/>
      <c r="O151" s="320"/>
      <c r="P151" s="320"/>
      <c r="Q151" s="320"/>
      <c r="R151" s="320"/>
      <c r="S151" s="320"/>
      <c r="T151" s="320"/>
      <c r="U151" s="320"/>
      <c r="V151" s="320"/>
      <c r="W151" s="320"/>
      <c r="X151" s="320"/>
    </row>
    <row r="152" spans="2:24">
      <c r="B152" s="295"/>
      <c r="C152" s="295"/>
      <c r="D152" s="317"/>
      <c r="E152" s="317"/>
      <c r="F152" s="317"/>
      <c r="G152" s="317"/>
      <c r="H152" s="317"/>
      <c r="I152" s="317"/>
      <c r="J152" s="317"/>
      <c r="K152" s="317"/>
      <c r="L152" s="317"/>
      <c r="M152" s="302"/>
      <c r="N152" s="302"/>
      <c r="O152" s="320"/>
      <c r="P152" s="320"/>
      <c r="Q152" s="320"/>
      <c r="R152" s="320"/>
      <c r="S152" s="320"/>
      <c r="T152" s="320"/>
      <c r="U152" s="320"/>
      <c r="V152" s="320"/>
      <c r="W152" s="320"/>
      <c r="X152" s="320"/>
    </row>
    <row r="153" spans="2:24">
      <c r="B153" s="295"/>
      <c r="C153" s="295"/>
      <c r="D153" s="317"/>
      <c r="E153" s="317"/>
      <c r="F153" s="317"/>
      <c r="G153" s="317"/>
      <c r="H153" s="317"/>
      <c r="I153" s="317"/>
      <c r="J153" s="317"/>
      <c r="K153" s="317"/>
      <c r="L153" s="317"/>
      <c r="M153" s="302"/>
      <c r="N153" s="302"/>
      <c r="O153" s="320"/>
      <c r="P153" s="320"/>
      <c r="Q153" s="320"/>
      <c r="R153" s="320"/>
      <c r="S153" s="320"/>
      <c r="T153" s="320"/>
      <c r="U153" s="320"/>
      <c r="V153" s="320"/>
      <c r="W153" s="320"/>
      <c r="X153" s="320"/>
    </row>
    <row r="154" spans="2:24">
      <c r="B154" s="295"/>
      <c r="C154" s="295"/>
      <c r="D154" s="317"/>
      <c r="E154" s="317"/>
      <c r="F154" s="317"/>
      <c r="G154" s="317"/>
      <c r="H154" s="317"/>
      <c r="I154" s="317"/>
      <c r="J154" s="317"/>
      <c r="K154" s="317"/>
      <c r="L154" s="317"/>
      <c r="M154" s="302"/>
      <c r="N154" s="302"/>
      <c r="O154" s="320"/>
      <c r="P154" s="320"/>
      <c r="Q154" s="320"/>
      <c r="R154" s="320"/>
      <c r="S154" s="320"/>
      <c r="T154" s="320"/>
      <c r="U154" s="320"/>
      <c r="V154" s="320"/>
      <c r="W154" s="320"/>
      <c r="X154" s="320"/>
    </row>
    <row r="155" spans="2:24">
      <c r="B155" s="295"/>
      <c r="C155" s="295"/>
      <c r="D155" s="317"/>
      <c r="E155" s="317"/>
      <c r="F155" s="317"/>
      <c r="G155" s="317"/>
      <c r="H155" s="317"/>
      <c r="I155" s="317"/>
      <c r="J155" s="317"/>
      <c r="K155" s="317"/>
      <c r="L155" s="317"/>
      <c r="M155" s="302"/>
      <c r="N155" s="302"/>
      <c r="O155" s="320"/>
      <c r="P155" s="320"/>
      <c r="Q155" s="320"/>
      <c r="R155" s="320"/>
      <c r="S155" s="320"/>
      <c r="T155" s="320"/>
      <c r="U155" s="320"/>
      <c r="V155" s="320"/>
      <c r="W155" s="320"/>
      <c r="X155" s="320"/>
    </row>
    <row r="156" spans="2:24">
      <c r="B156" s="295"/>
      <c r="C156" s="295"/>
      <c r="D156" s="317"/>
      <c r="E156" s="317"/>
      <c r="F156" s="317"/>
      <c r="G156" s="317"/>
      <c r="H156" s="317"/>
      <c r="I156" s="317"/>
      <c r="J156" s="317"/>
      <c r="K156" s="317"/>
      <c r="L156" s="317"/>
      <c r="M156" s="302"/>
      <c r="N156" s="302"/>
      <c r="O156" s="320"/>
      <c r="P156" s="320"/>
      <c r="Q156" s="320"/>
      <c r="R156" s="320"/>
      <c r="S156" s="320"/>
      <c r="T156" s="320"/>
      <c r="U156" s="320"/>
      <c r="V156" s="320"/>
      <c r="W156" s="320"/>
      <c r="X156" s="320"/>
    </row>
    <row r="157" spans="2:24">
      <c r="B157" s="295"/>
      <c r="C157" s="295"/>
      <c r="D157" s="317"/>
      <c r="E157" s="317"/>
      <c r="F157" s="317"/>
      <c r="G157" s="317"/>
      <c r="H157" s="317"/>
      <c r="I157" s="317"/>
      <c r="J157" s="317"/>
      <c r="K157" s="317"/>
      <c r="L157" s="317"/>
      <c r="M157" s="302"/>
      <c r="N157" s="302"/>
      <c r="O157" s="320"/>
      <c r="P157" s="320"/>
      <c r="Q157" s="320"/>
      <c r="R157" s="320"/>
      <c r="S157" s="320"/>
      <c r="T157" s="320"/>
      <c r="U157" s="320"/>
      <c r="V157" s="320"/>
      <c r="W157" s="320"/>
      <c r="X157" s="320"/>
    </row>
    <row r="158" spans="2:24">
      <c r="B158" s="295"/>
      <c r="C158" s="295"/>
      <c r="D158" s="317"/>
      <c r="E158" s="317"/>
      <c r="F158" s="317"/>
      <c r="G158" s="317"/>
      <c r="H158" s="317"/>
      <c r="I158" s="317"/>
      <c r="J158" s="317"/>
      <c r="K158" s="317"/>
      <c r="L158" s="317"/>
      <c r="M158" s="302"/>
      <c r="N158" s="302"/>
      <c r="O158" s="320"/>
      <c r="P158" s="320"/>
      <c r="Q158" s="320"/>
      <c r="R158" s="320"/>
      <c r="S158" s="320"/>
      <c r="T158" s="320"/>
      <c r="U158" s="320"/>
      <c r="V158" s="320"/>
      <c r="W158" s="320"/>
      <c r="X158" s="320"/>
    </row>
    <row r="159" spans="2:24">
      <c r="B159" s="295"/>
      <c r="C159" s="295"/>
      <c r="D159" s="317"/>
      <c r="E159" s="317"/>
      <c r="F159" s="317"/>
      <c r="G159" s="317"/>
      <c r="H159" s="317"/>
      <c r="I159" s="317"/>
      <c r="J159" s="317"/>
      <c r="K159" s="317"/>
      <c r="L159" s="317"/>
      <c r="M159" s="302"/>
      <c r="N159" s="302"/>
      <c r="O159" s="320"/>
      <c r="P159" s="320"/>
      <c r="Q159" s="320"/>
      <c r="R159" s="320"/>
      <c r="S159" s="320"/>
      <c r="T159" s="320"/>
      <c r="U159" s="320"/>
      <c r="V159" s="320"/>
      <c r="W159" s="320"/>
      <c r="X159" s="320"/>
    </row>
    <row r="160" spans="2:24">
      <c r="B160" s="295"/>
      <c r="C160" s="295"/>
      <c r="D160" s="317"/>
      <c r="E160" s="317"/>
      <c r="F160" s="317"/>
      <c r="G160" s="317"/>
      <c r="H160" s="317"/>
      <c r="I160" s="317"/>
      <c r="J160" s="317"/>
      <c r="K160" s="317"/>
      <c r="L160" s="317"/>
      <c r="M160" s="302"/>
      <c r="N160" s="302"/>
      <c r="O160" s="320"/>
      <c r="P160" s="320"/>
      <c r="Q160" s="320"/>
      <c r="R160" s="320"/>
      <c r="S160" s="320"/>
      <c r="T160" s="320"/>
      <c r="U160" s="320"/>
      <c r="V160" s="320"/>
      <c r="W160" s="320"/>
      <c r="X160" s="320"/>
    </row>
    <row r="161" spans="2:24">
      <c r="B161" s="295"/>
      <c r="C161" s="295"/>
      <c r="D161" s="317"/>
      <c r="E161" s="317"/>
      <c r="F161" s="317"/>
      <c r="G161" s="317"/>
      <c r="H161" s="317"/>
      <c r="I161" s="317"/>
      <c r="J161" s="317"/>
      <c r="K161" s="317"/>
      <c r="L161" s="317"/>
      <c r="M161" s="302"/>
      <c r="N161" s="302"/>
      <c r="O161" s="320"/>
      <c r="P161" s="320"/>
      <c r="Q161" s="320"/>
      <c r="R161" s="320"/>
      <c r="S161" s="320"/>
      <c r="T161" s="320"/>
      <c r="U161" s="320"/>
      <c r="V161" s="320"/>
      <c r="W161" s="320"/>
      <c r="X161" s="320"/>
    </row>
    <row r="162" spans="2:24">
      <c r="B162" s="295"/>
      <c r="C162" s="295"/>
      <c r="D162" s="317"/>
      <c r="E162" s="317"/>
      <c r="F162" s="317"/>
      <c r="G162" s="317"/>
      <c r="H162" s="317"/>
      <c r="I162" s="317"/>
      <c r="J162" s="317"/>
      <c r="K162" s="317"/>
      <c r="L162" s="317"/>
      <c r="M162" s="302"/>
      <c r="N162" s="302"/>
      <c r="O162" s="320"/>
      <c r="P162" s="320"/>
      <c r="Q162" s="320"/>
      <c r="R162" s="320"/>
      <c r="S162" s="320"/>
      <c r="T162" s="320"/>
      <c r="U162" s="320"/>
      <c r="V162" s="320"/>
      <c r="W162" s="320"/>
      <c r="X162" s="320"/>
    </row>
    <row r="163" spans="2:24">
      <c r="B163" s="295"/>
      <c r="C163" s="295"/>
      <c r="D163" s="317"/>
      <c r="E163" s="317"/>
      <c r="F163" s="317"/>
      <c r="G163" s="317"/>
      <c r="H163" s="317"/>
      <c r="I163" s="317"/>
      <c r="J163" s="317"/>
      <c r="K163" s="317"/>
      <c r="L163" s="317"/>
      <c r="M163" s="302"/>
      <c r="N163" s="302"/>
      <c r="O163" s="320"/>
      <c r="P163" s="320"/>
      <c r="Q163" s="320"/>
      <c r="R163" s="320"/>
      <c r="S163" s="320"/>
      <c r="T163" s="320"/>
      <c r="U163" s="320"/>
      <c r="V163" s="320"/>
      <c r="W163" s="320"/>
      <c r="X163" s="320"/>
    </row>
    <row r="164" spans="2:24">
      <c r="B164" s="295"/>
      <c r="C164" s="295"/>
      <c r="D164" s="317"/>
      <c r="E164" s="317"/>
      <c r="F164" s="317"/>
      <c r="G164" s="317"/>
      <c r="H164" s="317"/>
      <c r="I164" s="317"/>
      <c r="J164" s="317"/>
      <c r="K164" s="317"/>
      <c r="L164" s="317"/>
      <c r="M164" s="302"/>
      <c r="N164" s="302"/>
      <c r="O164" s="320" t="s">
        <v>812</v>
      </c>
      <c r="P164" s="320"/>
      <c r="Q164" s="320"/>
      <c r="R164" s="320"/>
      <c r="S164" s="320"/>
      <c r="T164" s="320"/>
      <c r="U164" s="320"/>
      <c r="V164" s="320"/>
      <c r="W164" s="320"/>
      <c r="X164" s="320"/>
    </row>
    <row r="165" spans="2:24">
      <c r="B165" s="295"/>
      <c r="C165" s="295"/>
      <c r="D165" s="317"/>
      <c r="E165" s="317"/>
      <c r="F165" s="317"/>
      <c r="G165" s="317"/>
      <c r="H165" s="317"/>
      <c r="I165" s="317"/>
      <c r="J165" s="317"/>
      <c r="K165" s="317"/>
      <c r="L165" s="317"/>
      <c r="M165" s="302"/>
      <c r="N165" s="302"/>
      <c r="O165" s="320" t="s">
        <v>813</v>
      </c>
      <c r="P165" s="320"/>
      <c r="Q165" s="320"/>
      <c r="R165" s="320"/>
      <c r="S165" s="320"/>
      <c r="T165" s="320"/>
      <c r="U165" s="320"/>
      <c r="V165" s="320"/>
      <c r="W165" s="320"/>
      <c r="X165" s="320"/>
    </row>
    <row r="166" spans="2:24">
      <c r="B166" s="295"/>
      <c r="C166" s="295"/>
      <c r="D166" s="316"/>
      <c r="E166" s="316" t="s">
        <v>814</v>
      </c>
      <c r="F166" s="317"/>
      <c r="G166" s="317"/>
      <c r="H166" s="317"/>
      <c r="I166" s="317"/>
      <c r="J166" s="317"/>
      <c r="K166" s="317"/>
      <c r="L166" s="317"/>
      <c r="M166" s="302"/>
      <c r="N166" s="302"/>
      <c r="O166" s="320"/>
      <c r="P166" s="320" t="s">
        <v>815</v>
      </c>
      <c r="Q166" s="320"/>
      <c r="R166" s="320"/>
      <c r="S166" s="320"/>
      <c r="T166" s="320"/>
      <c r="U166" s="320"/>
      <c r="V166" s="320"/>
      <c r="W166" s="320"/>
      <c r="X166" s="320"/>
    </row>
    <row r="167" spans="2:24">
      <c r="B167" s="295"/>
      <c r="C167" s="295"/>
      <c r="D167" s="317"/>
      <c r="E167" s="317" t="s">
        <v>816</v>
      </c>
      <c r="F167" s="317"/>
      <c r="G167" s="317"/>
      <c r="H167" s="317"/>
      <c r="I167" s="317"/>
      <c r="J167" s="317"/>
      <c r="K167" s="317"/>
      <c r="L167" s="317"/>
      <c r="M167" s="302"/>
      <c r="N167" s="302"/>
      <c r="O167" s="320" t="s">
        <v>817</v>
      </c>
      <c r="P167" s="320"/>
      <c r="Q167" s="320"/>
      <c r="R167" s="320"/>
      <c r="S167" s="320"/>
      <c r="T167" s="320"/>
      <c r="U167" s="320"/>
      <c r="V167" s="320"/>
      <c r="W167" s="320"/>
      <c r="X167" s="320"/>
    </row>
    <row r="168" spans="2:24">
      <c r="B168" s="295"/>
      <c r="C168" s="295"/>
      <c r="D168" s="317"/>
      <c r="E168" s="317" t="s">
        <v>818</v>
      </c>
      <c r="F168" s="317"/>
      <c r="G168" s="317"/>
      <c r="H168" s="317"/>
      <c r="I168" s="317"/>
      <c r="J168" s="317"/>
      <c r="K168" s="317"/>
      <c r="L168" s="317"/>
      <c r="M168" s="302"/>
      <c r="N168" s="302"/>
      <c r="O168" s="320"/>
      <c r="P168" s="320" t="s">
        <v>819</v>
      </c>
      <c r="Q168" s="320"/>
      <c r="R168" s="320"/>
      <c r="S168" s="320"/>
      <c r="T168" s="320"/>
      <c r="U168" s="320"/>
      <c r="V168" s="320"/>
      <c r="W168" s="320"/>
      <c r="X168" s="320"/>
    </row>
    <row r="169" spans="2:24">
      <c r="B169" s="295"/>
      <c r="C169" s="295"/>
      <c r="D169" s="317"/>
      <c r="E169" s="317"/>
      <c r="F169" s="317" t="s">
        <v>820</v>
      </c>
      <c r="G169" s="317"/>
      <c r="H169" s="317"/>
      <c r="I169" s="317"/>
      <c r="J169" s="317"/>
      <c r="K169" s="317"/>
      <c r="L169" s="317"/>
      <c r="M169" s="302"/>
      <c r="N169" s="302"/>
      <c r="O169" s="320" t="s">
        <v>821</v>
      </c>
      <c r="P169" s="320"/>
      <c r="Q169" s="320"/>
      <c r="R169" s="320"/>
      <c r="S169" s="320"/>
      <c r="T169" s="320"/>
      <c r="U169" s="320"/>
      <c r="V169" s="320"/>
      <c r="W169" s="320"/>
      <c r="X169" s="320"/>
    </row>
    <row r="170" spans="2:24">
      <c r="B170" s="295"/>
      <c r="C170" s="295"/>
      <c r="D170" s="317"/>
      <c r="E170" s="317" t="s">
        <v>822</v>
      </c>
      <c r="F170" s="317"/>
      <c r="G170" s="317"/>
      <c r="H170" s="317"/>
      <c r="I170" s="317"/>
      <c r="J170" s="317"/>
      <c r="K170" s="317"/>
      <c r="L170" s="317"/>
      <c r="M170" s="302"/>
      <c r="N170" s="302"/>
      <c r="O170" s="320"/>
      <c r="P170" s="320" t="s">
        <v>823</v>
      </c>
      <c r="Q170" s="320"/>
      <c r="R170" s="320"/>
      <c r="S170" s="320"/>
      <c r="T170" s="320"/>
      <c r="U170" s="320"/>
      <c r="V170" s="320"/>
      <c r="W170" s="320"/>
      <c r="X170" s="320"/>
    </row>
    <row r="171" spans="2:24">
      <c r="B171" s="295"/>
      <c r="C171" s="295"/>
      <c r="D171" s="317"/>
      <c r="E171" s="317" t="s">
        <v>824</v>
      </c>
      <c r="F171" s="317"/>
      <c r="G171" s="317"/>
      <c r="H171" s="317"/>
      <c r="I171" s="317"/>
      <c r="J171" s="317"/>
      <c r="K171" s="317"/>
      <c r="L171" s="317"/>
      <c r="M171" s="302"/>
      <c r="N171" s="302"/>
      <c r="O171" s="320"/>
      <c r="P171" s="320" t="s">
        <v>825</v>
      </c>
      <c r="Q171" s="320"/>
      <c r="R171" s="320"/>
      <c r="S171" s="320"/>
      <c r="T171" s="320"/>
      <c r="U171" s="320"/>
      <c r="V171" s="320"/>
      <c r="W171" s="320"/>
      <c r="X171" s="320"/>
    </row>
    <row r="172" spans="2:24">
      <c r="B172" s="295"/>
      <c r="C172" s="295"/>
      <c r="D172" s="317"/>
      <c r="E172" s="317"/>
      <c r="F172" s="317"/>
      <c r="G172" s="317"/>
      <c r="H172" s="317"/>
      <c r="I172" s="317"/>
      <c r="J172" s="317"/>
      <c r="K172" s="317"/>
      <c r="L172" s="317"/>
      <c r="M172" s="302"/>
      <c r="N172" s="302"/>
      <c r="O172" s="320"/>
      <c r="P172" s="320" t="s">
        <v>826</v>
      </c>
      <c r="Q172" s="320"/>
      <c r="R172" s="320"/>
      <c r="S172" s="320"/>
      <c r="T172" s="320"/>
      <c r="U172" s="320"/>
      <c r="V172" s="320"/>
      <c r="W172" s="320"/>
      <c r="X172" s="320"/>
    </row>
    <row r="173" spans="2:24">
      <c r="B173" s="295"/>
      <c r="C173" s="295"/>
      <c r="D173" s="317"/>
      <c r="E173" s="316" t="s">
        <v>827</v>
      </c>
      <c r="F173" s="317"/>
      <c r="G173" s="317"/>
      <c r="H173" s="317"/>
      <c r="I173" s="317"/>
      <c r="J173" s="317"/>
      <c r="K173" s="317"/>
      <c r="L173" s="317"/>
      <c r="M173" s="302"/>
      <c r="N173" s="302"/>
      <c r="O173" s="320"/>
      <c r="P173" s="320" t="s">
        <v>828</v>
      </c>
      <c r="Q173" s="320"/>
      <c r="R173" s="320"/>
      <c r="S173" s="320"/>
      <c r="T173" s="320"/>
      <c r="U173" s="320"/>
      <c r="V173" s="320"/>
      <c r="W173" s="320"/>
      <c r="X173" s="320"/>
    </row>
    <row r="174" spans="2:24">
      <c r="B174" s="295"/>
      <c r="C174" s="295"/>
      <c r="D174" s="317"/>
      <c r="E174" s="317" t="s">
        <v>829</v>
      </c>
      <c r="F174" s="317"/>
      <c r="G174" s="317"/>
      <c r="H174" s="317"/>
      <c r="I174" s="317"/>
      <c r="J174" s="317"/>
      <c r="K174" s="317"/>
      <c r="L174" s="317"/>
      <c r="M174" s="302"/>
      <c r="N174" s="302"/>
      <c r="O174" s="320"/>
      <c r="P174" s="320" t="s">
        <v>830</v>
      </c>
      <c r="Q174" s="320"/>
      <c r="R174" s="320"/>
      <c r="S174" s="320"/>
      <c r="T174" s="320"/>
      <c r="U174" s="320"/>
      <c r="V174" s="320"/>
      <c r="W174" s="320"/>
      <c r="X174" s="320"/>
    </row>
    <row r="175" spans="2:24">
      <c r="B175" s="295"/>
      <c r="C175" s="295"/>
      <c r="D175" s="317"/>
      <c r="E175" s="317" t="s">
        <v>831</v>
      </c>
      <c r="F175" s="317"/>
      <c r="G175" s="317"/>
      <c r="H175" s="317"/>
      <c r="I175" s="317"/>
      <c r="J175" s="317"/>
      <c r="K175" s="317"/>
      <c r="L175" s="317"/>
      <c r="M175" s="302"/>
      <c r="N175" s="302"/>
      <c r="O175" s="320"/>
      <c r="P175" s="320" t="s">
        <v>832</v>
      </c>
      <c r="Q175" s="320"/>
      <c r="R175" s="320"/>
      <c r="S175" s="320"/>
      <c r="T175" s="320"/>
      <c r="U175" s="320"/>
      <c r="V175" s="320"/>
      <c r="W175" s="320"/>
      <c r="X175" s="320"/>
    </row>
    <row r="176" spans="2:24">
      <c r="B176" s="295"/>
      <c r="C176" s="295"/>
      <c r="D176" s="317"/>
      <c r="E176" s="317"/>
      <c r="F176" s="317"/>
      <c r="G176" s="317"/>
      <c r="H176" s="317"/>
      <c r="I176" s="317"/>
      <c r="J176" s="317"/>
      <c r="K176" s="317"/>
      <c r="L176" s="317"/>
      <c r="M176" s="302"/>
      <c r="N176" s="302"/>
      <c r="O176" s="320"/>
      <c r="P176" s="320"/>
      <c r="Q176" s="320"/>
      <c r="R176" s="320"/>
      <c r="S176" s="320"/>
      <c r="T176" s="320"/>
      <c r="U176" s="320"/>
      <c r="V176" s="320"/>
      <c r="W176" s="320"/>
      <c r="X176" s="320"/>
    </row>
    <row r="177" spans="2:24">
      <c r="B177" s="295"/>
      <c r="C177" s="295"/>
      <c r="D177" s="321" t="s">
        <v>833</v>
      </c>
      <c r="E177" s="322"/>
      <c r="F177" s="322"/>
      <c r="G177" s="322"/>
      <c r="H177" s="322"/>
      <c r="I177" s="322"/>
      <c r="J177" s="322"/>
      <c r="K177" s="322"/>
      <c r="L177" s="322"/>
      <c r="M177" s="302"/>
      <c r="N177" s="302"/>
      <c r="O177" s="319" t="s">
        <v>834</v>
      </c>
      <c r="P177" s="320"/>
      <c r="Q177" s="320"/>
      <c r="R177" s="320"/>
      <c r="S177" s="320"/>
      <c r="T177" s="320"/>
      <c r="U177" s="320"/>
      <c r="V177" s="320"/>
      <c r="W177" s="320"/>
      <c r="X177" s="320"/>
    </row>
    <row r="178" spans="2:24">
      <c r="B178" s="295"/>
      <c r="C178" s="295"/>
      <c r="D178" s="322" t="s">
        <v>835</v>
      </c>
      <c r="E178" s="322"/>
      <c r="F178" s="322"/>
      <c r="G178" s="322"/>
      <c r="H178" s="322"/>
      <c r="I178" s="322"/>
      <c r="J178" s="322"/>
      <c r="K178" s="322"/>
      <c r="L178" s="322"/>
      <c r="M178" s="302"/>
      <c r="N178" s="302"/>
      <c r="O178" s="320"/>
      <c r="P178" s="320"/>
      <c r="Q178" s="320"/>
      <c r="R178" s="320"/>
      <c r="S178" s="320"/>
      <c r="T178" s="320"/>
      <c r="U178" s="320"/>
      <c r="V178" s="320"/>
      <c r="W178" s="320"/>
      <c r="X178" s="320"/>
    </row>
    <row r="179" spans="2:24">
      <c r="B179" s="295"/>
      <c r="C179" s="295"/>
      <c r="D179" s="322"/>
      <c r="E179" s="322" t="s">
        <v>836</v>
      </c>
      <c r="F179" s="322"/>
      <c r="G179" s="322"/>
      <c r="H179" s="322"/>
      <c r="I179" s="322"/>
      <c r="J179" s="322"/>
      <c r="K179" s="322"/>
      <c r="L179" s="322"/>
      <c r="M179" s="302"/>
      <c r="N179" s="302"/>
      <c r="O179" s="323" t="s">
        <v>837</v>
      </c>
      <c r="P179" s="324"/>
      <c r="Q179" s="324"/>
      <c r="R179" s="324"/>
      <c r="S179" s="324"/>
      <c r="T179" s="324"/>
      <c r="U179" s="324"/>
      <c r="V179" s="324"/>
      <c r="W179" s="324"/>
      <c r="X179" s="324"/>
    </row>
    <row r="180" spans="2:24">
      <c r="B180" s="295"/>
      <c r="C180" s="295"/>
      <c r="D180" s="322" t="s">
        <v>838</v>
      </c>
      <c r="E180" s="322"/>
      <c r="F180" s="322"/>
      <c r="G180" s="322"/>
      <c r="H180" s="322"/>
      <c r="I180" s="322"/>
      <c r="J180" s="322"/>
      <c r="K180" s="322"/>
      <c r="L180" s="322"/>
      <c r="M180" s="302"/>
      <c r="N180" s="302"/>
      <c r="O180" s="324" t="s">
        <v>839</v>
      </c>
      <c r="P180" s="324"/>
      <c r="Q180" s="324"/>
      <c r="R180" s="324"/>
      <c r="S180" s="324"/>
      <c r="T180" s="324"/>
      <c r="U180" s="324"/>
      <c r="V180" s="324"/>
      <c r="W180" s="324"/>
      <c r="X180" s="324"/>
    </row>
    <row r="181" spans="2:24">
      <c r="B181" s="295"/>
      <c r="C181" s="295"/>
      <c r="D181" s="322" t="s">
        <v>840</v>
      </c>
      <c r="E181" s="322"/>
      <c r="F181" s="322"/>
      <c r="G181" s="322"/>
      <c r="H181" s="322"/>
      <c r="I181" s="322"/>
      <c r="J181" s="322"/>
      <c r="K181" s="322"/>
      <c r="L181" s="322"/>
      <c r="M181" s="302"/>
      <c r="N181" s="302"/>
      <c r="O181" s="324"/>
      <c r="P181" s="324" t="s">
        <v>841</v>
      </c>
      <c r="Q181" s="324"/>
      <c r="R181" s="324"/>
      <c r="S181" s="324"/>
      <c r="T181" s="324"/>
      <c r="U181" s="324"/>
      <c r="V181" s="324"/>
      <c r="W181" s="324"/>
      <c r="X181" s="324"/>
    </row>
    <row r="182" spans="2:24">
      <c r="B182" s="295"/>
      <c r="C182" s="295"/>
      <c r="D182" s="322" t="s">
        <v>842</v>
      </c>
      <c r="E182" s="322"/>
      <c r="F182" s="322"/>
      <c r="G182" s="322"/>
      <c r="H182" s="322"/>
      <c r="I182" s="322"/>
      <c r="J182" s="322"/>
      <c r="K182" s="322"/>
      <c r="L182" s="322"/>
      <c r="M182" s="302"/>
      <c r="N182" s="302"/>
      <c r="O182" s="324"/>
      <c r="P182" s="324" t="s">
        <v>843</v>
      </c>
      <c r="Q182" s="324"/>
      <c r="R182" s="324"/>
      <c r="S182" s="324"/>
      <c r="T182" s="324"/>
      <c r="U182" s="324"/>
      <c r="V182" s="324"/>
      <c r="W182" s="324"/>
      <c r="X182" s="324"/>
    </row>
    <row r="183" spans="2:24">
      <c r="B183" s="295"/>
      <c r="C183" s="295"/>
      <c r="D183" s="322"/>
      <c r="E183" s="322" t="s">
        <v>844</v>
      </c>
      <c r="F183" s="322"/>
      <c r="G183" s="322"/>
      <c r="H183" s="322"/>
      <c r="I183" s="322"/>
      <c r="J183" s="322"/>
      <c r="K183" s="322"/>
      <c r="L183" s="322"/>
      <c r="M183" s="302"/>
      <c r="N183" s="302"/>
      <c r="O183" s="324"/>
      <c r="P183" s="324" t="s">
        <v>845</v>
      </c>
      <c r="Q183" s="324"/>
      <c r="R183" s="324"/>
      <c r="S183" s="324"/>
      <c r="T183" s="324"/>
      <c r="U183" s="324"/>
      <c r="V183" s="324"/>
      <c r="W183" s="324"/>
      <c r="X183" s="324"/>
    </row>
    <row r="184" spans="2:24">
      <c r="B184" s="295"/>
      <c r="C184" s="295"/>
      <c r="D184" s="322"/>
      <c r="E184" s="322" t="s">
        <v>846</v>
      </c>
      <c r="F184" s="322"/>
      <c r="G184" s="322"/>
      <c r="H184" s="322"/>
      <c r="I184" s="322"/>
      <c r="J184" s="322"/>
      <c r="K184" s="322"/>
      <c r="L184" s="322"/>
      <c r="M184" s="302"/>
      <c r="N184" s="302"/>
      <c r="O184" s="324" t="s">
        <v>847</v>
      </c>
      <c r="P184" s="324"/>
      <c r="Q184" s="324"/>
      <c r="R184" s="324"/>
      <c r="S184" s="324"/>
      <c r="T184" s="324"/>
      <c r="U184" s="324"/>
      <c r="V184" s="324"/>
      <c r="W184" s="324"/>
      <c r="X184" s="324"/>
    </row>
    <row r="185" spans="2:24">
      <c r="B185" s="295"/>
      <c r="C185" s="295"/>
      <c r="D185" s="322"/>
      <c r="E185" s="322" t="s">
        <v>848</v>
      </c>
      <c r="F185" s="322"/>
      <c r="G185" s="322"/>
      <c r="H185" s="322"/>
      <c r="I185" s="322"/>
      <c r="J185" s="322"/>
      <c r="K185" s="322"/>
      <c r="L185" s="322"/>
      <c r="M185" s="302"/>
      <c r="N185" s="302"/>
      <c r="O185" s="324" t="s">
        <v>849</v>
      </c>
      <c r="P185" s="324"/>
      <c r="Q185" s="324"/>
      <c r="R185" s="324"/>
      <c r="S185" s="324"/>
      <c r="T185" s="324"/>
      <c r="U185" s="324"/>
      <c r="V185" s="324"/>
      <c r="W185" s="324"/>
      <c r="X185" s="324"/>
    </row>
    <row r="186" spans="2:24">
      <c r="B186" s="295"/>
      <c r="C186" s="295"/>
      <c r="D186" s="322"/>
      <c r="E186" s="322"/>
      <c r="F186" s="322"/>
      <c r="G186" s="322"/>
      <c r="H186" s="322"/>
      <c r="I186" s="322"/>
      <c r="J186" s="322"/>
      <c r="K186" s="322"/>
      <c r="L186" s="322"/>
      <c r="M186" s="302"/>
      <c r="N186" s="302"/>
      <c r="O186" s="324" t="s">
        <v>850</v>
      </c>
      <c r="P186" s="324"/>
      <c r="Q186" s="324"/>
      <c r="R186" s="324"/>
      <c r="S186" s="324"/>
      <c r="T186" s="324"/>
      <c r="U186" s="324"/>
      <c r="V186" s="324"/>
      <c r="W186" s="324"/>
      <c r="X186" s="324"/>
    </row>
    <row r="187" spans="2:24">
      <c r="B187" s="295"/>
      <c r="C187" s="295"/>
      <c r="D187" s="322"/>
      <c r="E187" s="322"/>
      <c r="F187" s="322"/>
      <c r="G187" s="322"/>
      <c r="H187" s="322"/>
      <c r="I187" s="322"/>
      <c r="J187" s="322"/>
      <c r="K187" s="322"/>
      <c r="L187" s="322"/>
      <c r="M187" s="302"/>
      <c r="N187" s="302"/>
      <c r="O187" s="324"/>
      <c r="P187" s="324" t="s">
        <v>851</v>
      </c>
      <c r="Q187" s="324"/>
      <c r="R187" s="324"/>
      <c r="S187" s="324"/>
      <c r="T187" s="324"/>
      <c r="U187" s="324"/>
      <c r="V187" s="324"/>
      <c r="W187" s="324"/>
      <c r="X187" s="324"/>
    </row>
    <row r="188" spans="2:24">
      <c r="B188" s="295"/>
      <c r="C188" s="295"/>
      <c r="D188" s="322"/>
      <c r="E188" s="322"/>
      <c r="F188" s="322"/>
      <c r="G188" s="322"/>
      <c r="H188" s="322"/>
      <c r="I188" s="322"/>
      <c r="J188" s="322"/>
      <c r="K188" s="322"/>
      <c r="L188" s="322"/>
      <c r="M188" s="302"/>
      <c r="N188" s="302"/>
      <c r="O188" s="324"/>
      <c r="P188" s="324" t="s">
        <v>852</v>
      </c>
      <c r="Q188" s="324"/>
      <c r="R188" s="324"/>
      <c r="S188" s="324"/>
      <c r="T188" s="324"/>
      <c r="U188" s="324"/>
      <c r="V188" s="324"/>
      <c r="W188" s="324"/>
      <c r="X188" s="324"/>
    </row>
    <row r="189" spans="2:24">
      <c r="B189" s="295"/>
      <c r="C189" s="295"/>
      <c r="D189" s="322"/>
      <c r="E189" s="322"/>
      <c r="F189" s="322"/>
      <c r="G189" s="322"/>
      <c r="H189" s="322"/>
      <c r="I189" s="322"/>
      <c r="J189" s="322"/>
      <c r="K189" s="322"/>
      <c r="L189" s="322"/>
      <c r="M189" s="302"/>
      <c r="N189" s="302"/>
      <c r="O189" s="324" t="s">
        <v>853</v>
      </c>
      <c r="P189" s="324"/>
      <c r="Q189" s="324"/>
      <c r="R189" s="324"/>
      <c r="S189" s="324"/>
      <c r="T189" s="324"/>
      <c r="U189" s="324"/>
      <c r="V189" s="324"/>
      <c r="W189" s="324"/>
      <c r="X189" s="324"/>
    </row>
    <row r="190" spans="2:24">
      <c r="B190" s="295"/>
      <c r="C190" s="295"/>
      <c r="D190" s="322"/>
      <c r="E190" s="322"/>
      <c r="F190" s="322"/>
      <c r="G190" s="322"/>
      <c r="H190" s="322"/>
      <c r="I190" s="322"/>
      <c r="J190" s="322"/>
      <c r="K190" s="322"/>
      <c r="L190" s="322"/>
      <c r="M190" s="302"/>
      <c r="N190" s="302"/>
      <c r="O190" s="324"/>
      <c r="P190" s="324"/>
      <c r="Q190" s="324"/>
      <c r="R190" s="324"/>
      <c r="S190" s="324"/>
      <c r="T190" s="324"/>
      <c r="U190" s="324"/>
      <c r="V190" s="324"/>
      <c r="W190" s="324"/>
      <c r="X190" s="324"/>
    </row>
    <row r="191" spans="2:24">
      <c r="B191" s="295"/>
      <c r="C191" s="295"/>
      <c r="D191" s="322"/>
      <c r="E191" s="322"/>
      <c r="F191" s="322"/>
      <c r="G191" s="322"/>
      <c r="H191" s="322"/>
      <c r="I191" s="322"/>
      <c r="J191" s="322"/>
      <c r="K191" s="322"/>
      <c r="L191" s="322"/>
      <c r="M191" s="302"/>
      <c r="N191" s="302"/>
      <c r="O191" s="324"/>
      <c r="P191" s="324"/>
      <c r="Q191" s="324"/>
      <c r="R191" s="324"/>
      <c r="S191" s="324"/>
      <c r="T191" s="324"/>
      <c r="U191" s="324"/>
      <c r="V191" s="324"/>
      <c r="W191" s="324"/>
      <c r="X191" s="324"/>
    </row>
    <row r="192" spans="2:24">
      <c r="B192" s="295"/>
      <c r="C192" s="295"/>
      <c r="D192" s="322"/>
      <c r="E192" s="322"/>
      <c r="F192" s="322"/>
      <c r="G192" s="322"/>
      <c r="H192" s="322"/>
      <c r="I192" s="322"/>
      <c r="J192" s="322"/>
      <c r="K192" s="322"/>
      <c r="L192" s="322"/>
      <c r="M192" s="302"/>
      <c r="N192" s="302"/>
      <c r="O192" s="324"/>
      <c r="P192" s="324"/>
      <c r="Q192" s="324"/>
      <c r="R192" s="324"/>
      <c r="S192" s="324"/>
      <c r="T192" s="324"/>
      <c r="U192" s="324"/>
      <c r="V192" s="324"/>
      <c r="W192" s="324"/>
      <c r="X192" s="324"/>
    </row>
    <row r="193" spans="2:24">
      <c r="B193" s="295"/>
      <c r="C193" s="295"/>
      <c r="D193" s="322"/>
      <c r="E193" s="322"/>
      <c r="F193" s="322"/>
      <c r="G193" s="322"/>
      <c r="H193" s="322"/>
      <c r="I193" s="322"/>
      <c r="J193" s="322"/>
      <c r="K193" s="322"/>
      <c r="L193" s="322"/>
      <c r="M193" s="302"/>
      <c r="N193" s="302"/>
      <c r="O193" s="324"/>
      <c r="P193" s="324"/>
      <c r="Q193" s="324"/>
      <c r="R193" s="324"/>
      <c r="S193" s="324"/>
      <c r="T193" s="324"/>
      <c r="U193" s="324"/>
      <c r="V193" s="324"/>
      <c r="W193" s="324"/>
      <c r="X193" s="324"/>
    </row>
    <row r="194" spans="2:24">
      <c r="B194" s="295"/>
      <c r="C194" s="295"/>
      <c r="D194" s="322"/>
      <c r="E194" s="322"/>
      <c r="F194" s="322"/>
      <c r="G194" s="322"/>
      <c r="H194" s="322"/>
      <c r="I194" s="322"/>
      <c r="J194" s="322"/>
      <c r="K194" s="322"/>
      <c r="L194" s="322"/>
      <c r="M194" s="302"/>
      <c r="N194" s="302"/>
      <c r="O194" s="324"/>
      <c r="P194" s="324"/>
      <c r="Q194" s="324"/>
      <c r="R194" s="324"/>
      <c r="S194" s="324"/>
      <c r="T194" s="324"/>
      <c r="U194" s="324"/>
      <c r="V194" s="324"/>
      <c r="W194" s="324"/>
      <c r="X194" s="324"/>
    </row>
    <row r="195" spans="2:24">
      <c r="B195" s="295"/>
      <c r="C195" s="295"/>
      <c r="D195" s="322"/>
      <c r="E195" s="322"/>
      <c r="F195" s="322"/>
      <c r="G195" s="322"/>
      <c r="H195" s="322"/>
      <c r="I195" s="322"/>
      <c r="J195" s="322"/>
      <c r="K195" s="322"/>
      <c r="L195" s="322"/>
      <c r="M195" s="302"/>
      <c r="N195" s="302"/>
      <c r="O195" s="324"/>
      <c r="P195" s="324"/>
      <c r="Q195" s="324"/>
      <c r="R195" s="324"/>
      <c r="S195" s="324"/>
      <c r="T195" s="324"/>
      <c r="U195" s="324"/>
      <c r="V195" s="324"/>
      <c r="W195" s="324"/>
      <c r="X195" s="324"/>
    </row>
    <row r="196" spans="2:24">
      <c r="B196" s="295"/>
      <c r="C196" s="295"/>
      <c r="D196" s="322"/>
      <c r="E196" s="322"/>
      <c r="F196" s="322"/>
      <c r="G196" s="322"/>
      <c r="H196" s="322"/>
      <c r="I196" s="322"/>
      <c r="J196" s="322"/>
      <c r="K196" s="322"/>
      <c r="L196" s="322"/>
      <c r="M196" s="302"/>
      <c r="N196" s="302"/>
      <c r="O196" s="324"/>
      <c r="P196" s="324"/>
      <c r="Q196" s="324"/>
      <c r="R196" s="324"/>
      <c r="S196" s="324"/>
      <c r="T196" s="324"/>
      <c r="U196" s="324"/>
      <c r="V196" s="324"/>
      <c r="W196" s="324"/>
      <c r="X196" s="324"/>
    </row>
    <row r="197" spans="2:24">
      <c r="B197" s="295"/>
      <c r="C197" s="295"/>
      <c r="D197" s="322"/>
      <c r="E197" s="322"/>
      <c r="F197" s="322"/>
      <c r="G197" s="322"/>
      <c r="H197" s="322"/>
      <c r="I197" s="322"/>
      <c r="J197" s="322"/>
      <c r="K197" s="322"/>
      <c r="L197" s="322"/>
      <c r="M197" s="302"/>
      <c r="N197" s="302"/>
      <c r="O197" s="324"/>
      <c r="P197" s="324"/>
      <c r="Q197" s="324"/>
      <c r="R197" s="324"/>
      <c r="S197" s="324"/>
      <c r="T197" s="324"/>
      <c r="U197" s="324"/>
      <c r="V197" s="324"/>
      <c r="W197" s="324"/>
      <c r="X197" s="324"/>
    </row>
    <row r="198" spans="2:24">
      <c r="B198" s="295"/>
      <c r="C198" s="295"/>
      <c r="D198" s="322"/>
      <c r="E198" s="322"/>
      <c r="F198" s="322"/>
      <c r="G198" s="322"/>
      <c r="H198" s="322"/>
      <c r="I198" s="322"/>
      <c r="J198" s="322"/>
      <c r="K198" s="322"/>
      <c r="L198" s="322"/>
      <c r="M198" s="302"/>
      <c r="N198" s="302"/>
      <c r="O198" s="324"/>
      <c r="P198" s="324"/>
      <c r="Q198" s="324"/>
      <c r="R198" s="324"/>
      <c r="S198" s="324"/>
      <c r="T198" s="324"/>
      <c r="U198" s="324"/>
      <c r="V198" s="324"/>
      <c r="W198" s="324"/>
      <c r="X198" s="324"/>
    </row>
    <row r="199" spans="2:24">
      <c r="B199" s="295"/>
      <c r="C199" s="295"/>
      <c r="D199" s="322"/>
      <c r="E199" s="322"/>
      <c r="F199" s="322"/>
      <c r="G199" s="322"/>
      <c r="H199" s="322"/>
      <c r="I199" s="322"/>
      <c r="J199" s="322"/>
      <c r="K199" s="322"/>
      <c r="L199" s="322"/>
      <c r="M199" s="302"/>
      <c r="N199" s="302"/>
      <c r="O199" s="324"/>
      <c r="P199" s="324"/>
      <c r="Q199" s="324"/>
      <c r="R199" s="324"/>
      <c r="S199" s="324"/>
      <c r="T199" s="324"/>
      <c r="U199" s="324"/>
      <c r="V199" s="324"/>
      <c r="W199" s="324"/>
      <c r="X199" s="324"/>
    </row>
    <row r="200" spans="2:24">
      <c r="B200" s="295"/>
      <c r="C200" s="295"/>
      <c r="D200" s="322"/>
      <c r="E200" s="322"/>
      <c r="F200" s="322"/>
      <c r="G200" s="322"/>
      <c r="H200" s="322"/>
      <c r="I200" s="322"/>
      <c r="J200" s="322"/>
      <c r="K200" s="322"/>
      <c r="L200" s="322"/>
      <c r="M200" s="302"/>
      <c r="N200" s="302"/>
      <c r="O200" s="324"/>
      <c r="P200" s="324"/>
      <c r="Q200" s="324"/>
      <c r="R200" s="324"/>
      <c r="S200" s="324"/>
      <c r="T200" s="324"/>
      <c r="U200" s="324"/>
      <c r="V200" s="324"/>
      <c r="W200" s="324"/>
      <c r="X200" s="324"/>
    </row>
    <row r="201" spans="2:24">
      <c r="B201" s="295"/>
      <c r="C201" s="295"/>
      <c r="D201" s="322"/>
      <c r="E201" s="322"/>
      <c r="F201" s="322"/>
      <c r="G201" s="322"/>
      <c r="H201" s="322"/>
      <c r="I201" s="322"/>
      <c r="J201" s="322"/>
      <c r="K201" s="322"/>
      <c r="L201" s="322"/>
      <c r="M201" s="302"/>
      <c r="N201" s="302"/>
      <c r="O201" s="324"/>
      <c r="P201" s="324"/>
      <c r="Q201" s="324"/>
      <c r="R201" s="324"/>
      <c r="S201" s="324"/>
      <c r="T201" s="324"/>
      <c r="U201" s="324"/>
      <c r="V201" s="324"/>
      <c r="W201" s="324"/>
      <c r="X201" s="324"/>
    </row>
    <row r="202" spans="2:24">
      <c r="B202" s="295"/>
      <c r="C202" s="295"/>
      <c r="D202" s="322"/>
      <c r="E202" s="322"/>
      <c r="F202" s="322"/>
      <c r="G202" s="322"/>
      <c r="H202" s="322"/>
      <c r="I202" s="322"/>
      <c r="J202" s="322"/>
      <c r="K202" s="322"/>
      <c r="L202" s="322"/>
      <c r="M202" s="302"/>
      <c r="N202" s="302"/>
      <c r="O202" s="324"/>
      <c r="P202" s="324"/>
      <c r="Q202" s="324"/>
      <c r="R202" s="324"/>
      <c r="S202" s="324"/>
      <c r="T202" s="324"/>
      <c r="U202" s="324"/>
      <c r="V202" s="324"/>
      <c r="W202" s="324"/>
      <c r="X202" s="324"/>
    </row>
    <row r="203" spans="2:24">
      <c r="B203" s="295"/>
      <c r="C203" s="295"/>
      <c r="D203" s="322"/>
      <c r="E203" s="322"/>
      <c r="F203" s="322"/>
      <c r="G203" s="322"/>
      <c r="H203" s="322"/>
      <c r="I203" s="322"/>
      <c r="J203" s="322"/>
      <c r="K203" s="322"/>
      <c r="L203" s="322"/>
      <c r="M203" s="302"/>
      <c r="N203" s="302"/>
      <c r="O203" s="324"/>
      <c r="P203" s="324"/>
      <c r="Q203" s="324"/>
      <c r="R203" s="324"/>
      <c r="S203" s="324"/>
      <c r="T203" s="324"/>
      <c r="U203" s="324"/>
      <c r="V203" s="324"/>
      <c r="W203" s="324"/>
      <c r="X203" s="324"/>
    </row>
    <row r="204" spans="2:24">
      <c r="B204" s="295"/>
      <c r="C204" s="295"/>
      <c r="D204" s="322"/>
      <c r="E204" s="322"/>
      <c r="F204" s="322"/>
      <c r="G204" s="322"/>
      <c r="H204" s="322"/>
      <c r="I204" s="322"/>
      <c r="J204" s="322"/>
      <c r="K204" s="322"/>
      <c r="L204" s="322"/>
      <c r="M204" s="302"/>
      <c r="N204" s="302"/>
      <c r="O204" s="324"/>
      <c r="P204" s="324"/>
      <c r="Q204" s="324"/>
      <c r="R204" s="324"/>
      <c r="S204" s="324"/>
      <c r="T204" s="324"/>
      <c r="U204" s="324"/>
      <c r="V204" s="324"/>
      <c r="W204" s="324"/>
      <c r="X204" s="324"/>
    </row>
    <row r="205" spans="2:24">
      <c r="B205" s="295"/>
      <c r="C205" s="295"/>
      <c r="D205" s="322"/>
      <c r="E205" s="322"/>
      <c r="F205" s="322"/>
      <c r="G205" s="322"/>
      <c r="H205" s="322"/>
      <c r="I205" s="322"/>
      <c r="J205" s="322"/>
      <c r="K205" s="322"/>
      <c r="L205" s="322"/>
      <c r="M205" s="302"/>
      <c r="N205" s="302"/>
      <c r="O205" s="324"/>
      <c r="P205" s="324"/>
      <c r="Q205" s="324"/>
      <c r="R205" s="324"/>
      <c r="S205" s="324"/>
      <c r="T205" s="324"/>
      <c r="U205" s="324"/>
      <c r="V205" s="324"/>
      <c r="W205" s="324"/>
      <c r="X205" s="324"/>
    </row>
    <row r="206" spans="2:24">
      <c r="B206" s="295"/>
      <c r="C206" s="295"/>
      <c r="D206" s="322"/>
      <c r="E206" s="322"/>
      <c r="F206" s="322"/>
      <c r="G206" s="322"/>
      <c r="H206" s="322"/>
      <c r="I206" s="322"/>
      <c r="J206" s="322"/>
      <c r="K206" s="322"/>
      <c r="L206" s="322"/>
      <c r="M206" s="302"/>
      <c r="N206" s="302"/>
      <c r="O206" s="324"/>
      <c r="P206" s="324"/>
      <c r="Q206" s="324"/>
      <c r="R206" s="324"/>
      <c r="S206" s="324"/>
      <c r="T206" s="324"/>
      <c r="U206" s="324"/>
      <c r="V206" s="324"/>
      <c r="W206" s="324"/>
      <c r="X206" s="324"/>
    </row>
    <row r="207" spans="2:24">
      <c r="B207" s="295"/>
      <c r="C207" s="295"/>
      <c r="D207" s="322"/>
      <c r="E207" s="322"/>
      <c r="F207" s="322"/>
      <c r="G207" s="322"/>
      <c r="H207" s="322"/>
      <c r="I207" s="322"/>
      <c r="J207" s="322"/>
      <c r="K207" s="322"/>
      <c r="L207" s="322"/>
      <c r="M207" s="302"/>
      <c r="N207" s="302"/>
      <c r="O207" s="324"/>
      <c r="P207" s="324"/>
      <c r="Q207" s="324"/>
      <c r="R207" s="324"/>
      <c r="S207" s="324"/>
      <c r="T207" s="324"/>
      <c r="U207" s="324"/>
      <c r="V207" s="324"/>
      <c r="W207" s="324"/>
      <c r="X207" s="324"/>
    </row>
    <row r="208" spans="2:24">
      <c r="B208" s="295"/>
      <c r="C208" s="295"/>
      <c r="D208" s="322"/>
      <c r="E208" s="322"/>
      <c r="F208" s="322"/>
      <c r="G208" s="322"/>
      <c r="H208" s="322"/>
      <c r="I208" s="322"/>
      <c r="J208" s="322"/>
      <c r="K208" s="322"/>
      <c r="L208" s="322"/>
      <c r="M208" s="302"/>
      <c r="N208" s="302"/>
      <c r="O208" s="324"/>
      <c r="P208" s="324"/>
      <c r="Q208" s="324"/>
      <c r="R208" s="324"/>
      <c r="S208" s="324"/>
      <c r="T208" s="324"/>
      <c r="U208" s="324"/>
      <c r="V208" s="324"/>
      <c r="W208" s="324"/>
      <c r="X208" s="324"/>
    </row>
    <row r="209" spans="2:24">
      <c r="B209" s="295"/>
      <c r="C209" s="295"/>
      <c r="D209" s="322"/>
      <c r="E209" s="322"/>
      <c r="F209" s="322"/>
      <c r="G209" s="322"/>
      <c r="H209" s="322"/>
      <c r="I209" s="322"/>
      <c r="J209" s="322"/>
      <c r="K209" s="322"/>
      <c r="L209" s="322"/>
      <c r="M209" s="302"/>
      <c r="N209" s="302"/>
      <c r="O209" s="324"/>
      <c r="P209" s="324"/>
      <c r="Q209" s="324"/>
      <c r="R209" s="324"/>
      <c r="S209" s="324"/>
      <c r="T209" s="324"/>
      <c r="U209" s="324"/>
      <c r="V209" s="324"/>
      <c r="W209" s="324"/>
      <c r="X209" s="324"/>
    </row>
    <row r="210" spans="2:24">
      <c r="B210" s="295"/>
      <c r="C210" s="295"/>
      <c r="D210" s="322"/>
      <c r="E210" s="322"/>
      <c r="F210" s="322"/>
      <c r="G210" s="322"/>
      <c r="H210" s="322"/>
      <c r="I210" s="322"/>
      <c r="J210" s="322"/>
      <c r="K210" s="322"/>
      <c r="L210" s="322"/>
      <c r="M210" s="302"/>
      <c r="N210" s="302"/>
      <c r="O210" s="324"/>
      <c r="P210" s="324"/>
      <c r="Q210" s="324"/>
      <c r="R210" s="324"/>
      <c r="S210" s="324"/>
      <c r="T210" s="324"/>
      <c r="U210" s="324"/>
      <c r="V210" s="324"/>
      <c r="W210" s="324"/>
      <c r="X210" s="324"/>
    </row>
    <row r="211" spans="2:24">
      <c r="B211" s="295"/>
      <c r="C211" s="295"/>
      <c r="D211" s="322"/>
      <c r="E211" s="322"/>
      <c r="F211" s="322"/>
      <c r="G211" s="322"/>
      <c r="H211" s="322"/>
      <c r="I211" s="322"/>
      <c r="J211" s="322"/>
      <c r="K211" s="322"/>
      <c r="L211" s="322"/>
      <c r="M211" s="302"/>
      <c r="N211" s="302"/>
      <c r="O211" s="324"/>
      <c r="P211" s="324"/>
      <c r="Q211" s="324"/>
      <c r="R211" s="324"/>
      <c r="S211" s="324"/>
      <c r="T211" s="324"/>
      <c r="U211" s="324"/>
      <c r="V211" s="324"/>
      <c r="W211" s="324"/>
      <c r="X211" s="324"/>
    </row>
    <row r="212" spans="2:24">
      <c r="B212" s="295"/>
      <c r="C212" s="295"/>
      <c r="D212" s="322"/>
      <c r="E212" s="322"/>
      <c r="F212" s="322"/>
      <c r="G212" s="322"/>
      <c r="H212" s="322"/>
      <c r="I212" s="322"/>
      <c r="J212" s="322"/>
      <c r="K212" s="322"/>
      <c r="L212" s="322"/>
      <c r="M212" s="302"/>
      <c r="N212" s="302"/>
      <c r="O212" s="324"/>
      <c r="P212" s="324"/>
      <c r="Q212" s="324"/>
      <c r="R212" s="324"/>
      <c r="S212" s="324"/>
      <c r="T212" s="324"/>
      <c r="U212" s="324"/>
      <c r="V212" s="324"/>
      <c r="W212" s="324"/>
      <c r="X212" s="324"/>
    </row>
    <row r="213" spans="2:24">
      <c r="B213" s="295"/>
      <c r="C213" s="295"/>
      <c r="D213" s="322"/>
      <c r="E213" s="322"/>
      <c r="F213" s="322"/>
      <c r="G213" s="322"/>
      <c r="H213" s="322"/>
      <c r="I213" s="322"/>
      <c r="J213" s="322"/>
      <c r="K213" s="322"/>
      <c r="L213" s="322"/>
      <c r="M213" s="302"/>
      <c r="N213" s="302"/>
      <c r="O213" s="324"/>
      <c r="P213" s="324"/>
      <c r="Q213" s="324"/>
      <c r="R213" s="324"/>
      <c r="S213" s="324"/>
      <c r="T213" s="324"/>
      <c r="U213" s="324"/>
      <c r="V213" s="324"/>
      <c r="W213" s="324"/>
      <c r="X213" s="324"/>
    </row>
    <row r="214" spans="2:24">
      <c r="B214" s="295"/>
      <c r="C214" s="295"/>
      <c r="D214" s="322"/>
      <c r="E214" s="322"/>
      <c r="F214" s="322"/>
      <c r="G214" s="322"/>
      <c r="H214" s="322"/>
      <c r="I214" s="322"/>
      <c r="J214" s="322"/>
      <c r="K214" s="322"/>
      <c r="L214" s="322"/>
      <c r="M214" s="302"/>
      <c r="N214" s="302"/>
      <c r="O214" s="324"/>
      <c r="P214" s="324"/>
      <c r="Q214" s="324"/>
      <c r="R214" s="324"/>
      <c r="S214" s="324"/>
      <c r="T214" s="324"/>
      <c r="U214" s="324"/>
      <c r="V214" s="324"/>
      <c r="W214" s="324"/>
      <c r="X214" s="324"/>
    </row>
    <row r="215" spans="2:24">
      <c r="B215" s="295"/>
      <c r="C215" s="295"/>
      <c r="D215" s="322"/>
      <c r="E215" s="322"/>
      <c r="F215" s="322"/>
      <c r="G215" s="322"/>
      <c r="H215" s="322"/>
      <c r="I215" s="322"/>
      <c r="J215" s="322"/>
      <c r="K215" s="322"/>
      <c r="L215" s="322"/>
      <c r="M215" s="302"/>
      <c r="N215" s="302"/>
      <c r="O215" s="324"/>
      <c r="P215" s="324"/>
      <c r="Q215" s="324"/>
      <c r="R215" s="324"/>
      <c r="S215" s="324"/>
      <c r="T215" s="324"/>
      <c r="U215" s="324"/>
      <c r="V215" s="324"/>
      <c r="W215" s="324"/>
      <c r="X215" s="324"/>
    </row>
    <row r="216" spans="2:24">
      <c r="B216" s="295"/>
      <c r="C216" s="295"/>
      <c r="D216" s="322"/>
      <c r="E216" s="322"/>
      <c r="F216" s="322"/>
      <c r="G216" s="322"/>
      <c r="H216" s="322"/>
      <c r="I216" s="322"/>
      <c r="J216" s="322"/>
      <c r="K216" s="322"/>
      <c r="L216" s="322"/>
      <c r="M216" s="302"/>
      <c r="N216" s="302"/>
      <c r="O216" s="324"/>
      <c r="P216" s="324"/>
      <c r="Q216" s="324"/>
      <c r="R216" s="324"/>
      <c r="S216" s="324"/>
      <c r="T216" s="324"/>
      <c r="U216" s="324"/>
      <c r="V216" s="324"/>
      <c r="W216" s="324"/>
      <c r="X216" s="324"/>
    </row>
    <row r="217" spans="2:24">
      <c r="B217" s="295"/>
      <c r="C217" s="295"/>
      <c r="D217" s="322"/>
      <c r="E217" s="322"/>
      <c r="F217" s="322"/>
      <c r="G217" s="322"/>
      <c r="H217" s="322"/>
      <c r="I217" s="322"/>
      <c r="J217" s="322"/>
      <c r="K217" s="322"/>
      <c r="L217" s="322"/>
      <c r="M217" s="302"/>
      <c r="N217" s="302"/>
      <c r="O217" s="324"/>
      <c r="P217" s="324"/>
      <c r="Q217" s="324"/>
      <c r="R217" s="324"/>
      <c r="S217" s="324"/>
      <c r="T217" s="324"/>
      <c r="U217" s="324"/>
      <c r="V217" s="324"/>
      <c r="W217" s="324"/>
      <c r="X217" s="324"/>
    </row>
    <row r="218" spans="2:24">
      <c r="B218" s="295"/>
      <c r="C218" s="295"/>
      <c r="D218" s="322"/>
      <c r="E218" s="322"/>
      <c r="F218" s="322"/>
      <c r="G218" s="322"/>
      <c r="H218" s="322"/>
      <c r="I218" s="322"/>
      <c r="J218" s="322"/>
      <c r="K218" s="322"/>
      <c r="L218" s="322"/>
      <c r="M218" s="302"/>
      <c r="N218" s="302"/>
      <c r="O218" s="324"/>
      <c r="P218" s="324"/>
      <c r="Q218" s="324"/>
      <c r="R218" s="324"/>
      <c r="S218" s="324"/>
      <c r="T218" s="324"/>
      <c r="U218" s="324"/>
      <c r="V218" s="324"/>
      <c r="W218" s="324"/>
      <c r="X218" s="324"/>
    </row>
    <row r="219" spans="2:24">
      <c r="B219" s="295"/>
      <c r="C219" s="295"/>
      <c r="D219" s="322"/>
      <c r="E219" s="322"/>
      <c r="F219" s="322"/>
      <c r="G219" s="322"/>
      <c r="H219" s="322"/>
      <c r="I219" s="322"/>
      <c r="J219" s="322"/>
      <c r="K219" s="322"/>
      <c r="L219" s="322"/>
      <c r="M219" s="302"/>
      <c r="N219" s="302"/>
      <c r="O219" s="324"/>
      <c r="P219" s="324"/>
      <c r="Q219" s="324"/>
      <c r="R219" s="324"/>
      <c r="S219" s="324"/>
      <c r="T219" s="324"/>
      <c r="U219" s="324"/>
      <c r="V219" s="324"/>
      <c r="W219" s="324"/>
      <c r="X219" s="324"/>
    </row>
    <row r="220" spans="2:24">
      <c r="B220" s="295"/>
      <c r="C220" s="295"/>
      <c r="D220" s="322"/>
      <c r="E220" s="322"/>
      <c r="F220" s="322"/>
      <c r="G220" s="322"/>
      <c r="H220" s="322"/>
      <c r="I220" s="322"/>
      <c r="J220" s="322"/>
      <c r="K220" s="322"/>
      <c r="L220" s="322"/>
      <c r="M220" s="302"/>
      <c r="N220" s="302"/>
      <c r="O220" s="324"/>
      <c r="P220" s="324"/>
      <c r="Q220" s="324"/>
      <c r="R220" s="324"/>
      <c r="S220" s="324"/>
      <c r="T220" s="324"/>
      <c r="U220" s="324"/>
      <c r="V220" s="324"/>
      <c r="W220" s="324"/>
      <c r="X220" s="324"/>
    </row>
    <row r="221" spans="2:24">
      <c r="B221" s="295"/>
      <c r="C221" s="295"/>
      <c r="D221" s="322"/>
      <c r="E221" s="322"/>
      <c r="F221" s="322"/>
      <c r="G221" s="322"/>
      <c r="H221" s="322"/>
      <c r="I221" s="322"/>
      <c r="J221" s="322"/>
      <c r="K221" s="322"/>
      <c r="L221" s="322"/>
      <c r="M221" s="302"/>
      <c r="N221" s="302"/>
      <c r="O221" s="324"/>
      <c r="P221" s="324"/>
      <c r="Q221" s="324"/>
      <c r="R221" s="324"/>
      <c r="S221" s="324"/>
      <c r="T221" s="324"/>
      <c r="U221" s="324"/>
      <c r="V221" s="324"/>
      <c r="W221" s="324"/>
      <c r="X221" s="324"/>
    </row>
    <row r="222" spans="2:24">
      <c r="B222" s="295"/>
      <c r="C222" s="295"/>
      <c r="D222" s="322"/>
      <c r="E222" s="322"/>
      <c r="F222" s="322"/>
      <c r="G222" s="322"/>
      <c r="H222" s="322"/>
      <c r="I222" s="322"/>
      <c r="J222" s="322"/>
      <c r="K222" s="322"/>
      <c r="L222" s="322"/>
      <c r="M222" s="302"/>
      <c r="N222" s="302"/>
      <c r="O222" s="324"/>
      <c r="P222" s="324"/>
      <c r="Q222" s="324"/>
      <c r="R222" s="324"/>
      <c r="S222" s="324"/>
      <c r="T222" s="324"/>
      <c r="U222" s="324"/>
      <c r="V222" s="324"/>
      <c r="W222" s="324"/>
      <c r="X222" s="324"/>
    </row>
    <row r="223" spans="2:24">
      <c r="B223" s="295"/>
      <c r="C223" s="295"/>
      <c r="D223" s="322"/>
      <c r="E223" s="322"/>
      <c r="F223" s="322"/>
      <c r="G223" s="322"/>
      <c r="H223" s="322"/>
      <c r="I223" s="322"/>
      <c r="J223" s="322"/>
      <c r="K223" s="322"/>
      <c r="L223" s="322"/>
      <c r="M223" s="302"/>
      <c r="N223" s="302"/>
      <c r="O223" s="324"/>
      <c r="P223" s="324"/>
      <c r="Q223" s="324"/>
      <c r="R223" s="324"/>
      <c r="S223" s="324"/>
      <c r="T223" s="324"/>
      <c r="U223" s="324"/>
      <c r="V223" s="324"/>
      <c r="W223" s="324"/>
      <c r="X223" s="324"/>
    </row>
    <row r="224" spans="2:24">
      <c r="B224" s="295"/>
      <c r="C224" s="295"/>
      <c r="D224" s="322"/>
      <c r="E224" s="322"/>
      <c r="F224" s="322"/>
      <c r="G224" s="322"/>
      <c r="H224" s="322"/>
      <c r="I224" s="322"/>
      <c r="J224" s="322"/>
      <c r="K224" s="322"/>
      <c r="L224" s="322"/>
      <c r="M224" s="302"/>
      <c r="N224" s="302"/>
      <c r="O224" s="324"/>
      <c r="P224" s="324"/>
      <c r="Q224" s="324"/>
      <c r="R224" s="324"/>
      <c r="S224" s="324"/>
      <c r="T224" s="324"/>
      <c r="U224" s="324"/>
      <c r="V224" s="324"/>
      <c r="W224" s="324"/>
      <c r="X224" s="324"/>
    </row>
    <row r="225" spans="2:24">
      <c r="B225" s="295"/>
      <c r="C225" s="295"/>
      <c r="D225" s="322"/>
      <c r="E225" s="322"/>
      <c r="F225" s="322"/>
      <c r="G225" s="322"/>
      <c r="H225" s="322"/>
      <c r="I225" s="322"/>
      <c r="J225" s="322"/>
      <c r="K225" s="322"/>
      <c r="L225" s="322"/>
      <c r="M225" s="302"/>
      <c r="N225" s="302"/>
      <c r="O225" s="324"/>
      <c r="P225" s="324"/>
      <c r="Q225" s="324"/>
      <c r="R225" s="324"/>
      <c r="S225" s="324"/>
      <c r="T225" s="324"/>
      <c r="U225" s="324"/>
      <c r="V225" s="324"/>
      <c r="W225" s="324"/>
      <c r="X225" s="324"/>
    </row>
    <row r="226" spans="2:24">
      <c r="B226" s="295"/>
      <c r="C226" s="295"/>
      <c r="D226" s="322"/>
      <c r="E226" s="322"/>
      <c r="F226" s="322"/>
      <c r="G226" s="322"/>
      <c r="H226" s="322"/>
      <c r="I226" s="322"/>
      <c r="J226" s="322"/>
      <c r="K226" s="322"/>
      <c r="L226" s="322"/>
      <c r="M226" s="302"/>
      <c r="N226" s="302"/>
      <c r="O226" s="324"/>
      <c r="P226" s="323" t="s">
        <v>854</v>
      </c>
      <c r="Q226" s="324"/>
      <c r="R226" s="324"/>
      <c r="S226" s="324"/>
      <c r="T226" s="324"/>
      <c r="U226" s="324"/>
      <c r="V226" s="324"/>
      <c r="W226" s="324"/>
      <c r="X226" s="324"/>
    </row>
    <row r="227" spans="2:24">
      <c r="B227" s="295"/>
      <c r="C227" s="295"/>
      <c r="D227" s="322"/>
      <c r="E227" s="322"/>
      <c r="F227" s="322"/>
      <c r="G227" s="322"/>
      <c r="H227" s="322"/>
      <c r="I227" s="322"/>
      <c r="J227" s="322"/>
      <c r="K227" s="322"/>
      <c r="L227" s="322"/>
      <c r="M227" s="302"/>
      <c r="N227" s="302"/>
      <c r="O227" s="324"/>
      <c r="P227" s="324"/>
      <c r="Q227" s="323" t="s">
        <v>855</v>
      </c>
      <c r="R227" s="324"/>
      <c r="S227" s="324"/>
      <c r="T227" s="324"/>
      <c r="U227" s="324"/>
      <c r="V227" s="324"/>
      <c r="W227" s="324"/>
      <c r="X227" s="324"/>
    </row>
    <row r="228" spans="2:24">
      <c r="B228" s="302"/>
      <c r="C228" s="302"/>
      <c r="D228" s="322"/>
      <c r="E228" s="322"/>
      <c r="F228" s="322"/>
      <c r="G228" s="322"/>
      <c r="H228" s="322"/>
      <c r="I228" s="322"/>
      <c r="J228" s="322"/>
      <c r="K228" s="322"/>
      <c r="L228" s="322"/>
      <c r="M228" s="302"/>
      <c r="N228" s="302"/>
      <c r="O228" s="324"/>
      <c r="P228" s="324"/>
      <c r="Q228" s="324"/>
      <c r="R228" s="324" t="s">
        <v>856</v>
      </c>
      <c r="S228" s="324"/>
      <c r="T228" s="324"/>
      <c r="U228" s="324"/>
      <c r="V228" s="324"/>
      <c r="W228" s="324"/>
      <c r="X228" s="324"/>
    </row>
    <row r="229" spans="2:24">
      <c r="B229" s="302"/>
      <c r="C229" s="302"/>
      <c r="D229" s="322"/>
      <c r="E229" s="322"/>
      <c r="F229" s="322"/>
      <c r="G229" s="322"/>
      <c r="H229" s="322"/>
      <c r="I229" s="322"/>
      <c r="J229" s="322"/>
      <c r="K229" s="322"/>
      <c r="L229" s="322"/>
      <c r="M229" s="302"/>
      <c r="N229" s="302"/>
      <c r="O229" s="324"/>
      <c r="P229" s="324"/>
      <c r="Q229" s="323" t="s">
        <v>857</v>
      </c>
      <c r="R229" s="324"/>
      <c r="S229" s="324"/>
      <c r="T229" s="324"/>
      <c r="U229" s="324"/>
      <c r="V229" s="324"/>
      <c r="W229" s="324"/>
      <c r="X229" s="324"/>
    </row>
    <row r="230" spans="2:24">
      <c r="B230" s="302"/>
      <c r="C230" s="302"/>
      <c r="D230" s="322"/>
      <c r="E230" s="322"/>
      <c r="F230" s="322"/>
      <c r="G230" s="322"/>
      <c r="H230" s="322"/>
      <c r="I230" s="322"/>
      <c r="J230" s="322"/>
      <c r="K230" s="322"/>
      <c r="L230" s="322"/>
      <c r="M230" s="302"/>
      <c r="N230" s="302"/>
      <c r="O230" s="324"/>
      <c r="P230" s="324"/>
      <c r="Q230" s="324"/>
      <c r="R230" s="324" t="s">
        <v>858</v>
      </c>
      <c r="S230" s="324"/>
      <c r="T230" s="324"/>
      <c r="U230" s="324"/>
      <c r="V230" s="324"/>
      <c r="W230" s="324"/>
      <c r="X230" s="324"/>
    </row>
    <row r="231" spans="2:24">
      <c r="B231" s="302"/>
      <c r="C231" s="302"/>
      <c r="D231" s="322"/>
      <c r="E231" s="322"/>
      <c r="F231" s="322"/>
      <c r="G231" s="322"/>
      <c r="H231" s="322"/>
      <c r="I231" s="322"/>
      <c r="J231" s="322"/>
      <c r="K231" s="322"/>
      <c r="L231" s="322"/>
      <c r="M231" s="302"/>
      <c r="N231" s="302"/>
      <c r="O231" s="324"/>
      <c r="P231" s="323" t="s">
        <v>859</v>
      </c>
      <c r="Q231" s="323"/>
      <c r="R231" s="324"/>
      <c r="S231" s="324"/>
      <c r="T231" s="324"/>
      <c r="U231" s="324"/>
      <c r="V231" s="324"/>
      <c r="W231" s="324"/>
      <c r="X231" s="324"/>
    </row>
    <row r="232" spans="2:24">
      <c r="B232" s="302"/>
      <c r="C232" s="302"/>
      <c r="D232" s="322"/>
      <c r="E232" s="322"/>
      <c r="F232" s="322"/>
      <c r="G232" s="322"/>
      <c r="H232" s="322"/>
      <c r="I232" s="322"/>
      <c r="J232" s="322"/>
      <c r="K232" s="322"/>
      <c r="L232" s="322"/>
      <c r="M232" s="302"/>
      <c r="N232" s="302"/>
      <c r="O232" s="324"/>
      <c r="P232" s="324"/>
      <c r="Q232" s="324" t="s">
        <v>860</v>
      </c>
      <c r="R232" s="324"/>
      <c r="S232" s="324"/>
      <c r="T232" s="324"/>
      <c r="U232" s="324"/>
      <c r="V232" s="324"/>
      <c r="W232" s="324"/>
      <c r="X232" s="324"/>
    </row>
    <row r="233" spans="2:24">
      <c r="B233" s="302"/>
      <c r="C233" s="302"/>
      <c r="D233" s="322"/>
      <c r="E233" s="321" t="s">
        <v>786</v>
      </c>
      <c r="F233" s="322"/>
      <c r="G233" s="322"/>
      <c r="H233" s="322"/>
      <c r="I233" s="322"/>
      <c r="J233" s="322"/>
      <c r="K233" s="322"/>
      <c r="L233" s="322"/>
      <c r="M233" s="302"/>
      <c r="N233" s="302"/>
      <c r="O233" s="324"/>
      <c r="P233" s="324"/>
      <c r="Q233" s="324"/>
      <c r="R233" s="324"/>
      <c r="S233" s="324"/>
      <c r="T233" s="324"/>
      <c r="U233" s="324"/>
      <c r="V233" s="324"/>
      <c r="W233" s="324"/>
      <c r="X233" s="324"/>
    </row>
    <row r="234" spans="2:24">
      <c r="B234" s="302"/>
      <c r="C234" s="302"/>
      <c r="D234" s="322"/>
      <c r="E234" s="322" t="s">
        <v>861</v>
      </c>
      <c r="F234" s="322"/>
      <c r="G234" s="322"/>
      <c r="H234" s="322"/>
      <c r="I234" s="322"/>
      <c r="J234" s="322"/>
      <c r="K234" s="322"/>
      <c r="L234" s="322"/>
      <c r="M234" s="302"/>
      <c r="N234" s="302"/>
      <c r="O234" s="324"/>
      <c r="P234" s="323" t="s">
        <v>862</v>
      </c>
      <c r="Q234" s="324"/>
      <c r="R234" s="324"/>
      <c r="S234" s="324"/>
      <c r="T234" s="324"/>
      <c r="U234" s="324"/>
      <c r="V234" s="324"/>
      <c r="W234" s="324"/>
      <c r="X234" s="324"/>
    </row>
    <row r="235" spans="2:24">
      <c r="B235" s="302"/>
      <c r="C235" s="302"/>
      <c r="D235" s="322"/>
      <c r="E235" s="322"/>
      <c r="F235" s="322" t="s">
        <v>863</v>
      </c>
      <c r="G235" s="322"/>
      <c r="H235" s="322"/>
      <c r="I235" s="322"/>
      <c r="J235" s="322"/>
      <c r="K235" s="322"/>
      <c r="L235" s="322"/>
      <c r="M235" s="302"/>
      <c r="N235" s="302"/>
      <c r="O235" s="324"/>
      <c r="P235" s="324"/>
      <c r="Q235" s="324" t="s">
        <v>864</v>
      </c>
      <c r="R235" s="324"/>
      <c r="S235" s="324"/>
      <c r="T235" s="324"/>
      <c r="U235" s="324"/>
      <c r="V235" s="324"/>
      <c r="W235" s="324"/>
      <c r="X235" s="324"/>
    </row>
    <row r="236" spans="2:24">
      <c r="B236" s="302"/>
      <c r="C236" s="302"/>
      <c r="D236" s="322"/>
      <c r="E236" s="322" t="s">
        <v>865</v>
      </c>
      <c r="F236" s="322"/>
      <c r="G236" s="322"/>
      <c r="H236" s="322"/>
      <c r="I236" s="322"/>
      <c r="J236" s="322"/>
      <c r="K236" s="322"/>
      <c r="L236" s="322"/>
      <c r="M236" s="302"/>
      <c r="N236" s="302"/>
      <c r="O236" s="324"/>
      <c r="P236" s="324"/>
      <c r="Q236" s="324"/>
      <c r="R236" s="324" t="s">
        <v>866</v>
      </c>
      <c r="S236" s="324"/>
      <c r="T236" s="324"/>
      <c r="U236" s="324"/>
      <c r="V236" s="324"/>
      <c r="W236" s="324"/>
      <c r="X236" s="324"/>
    </row>
    <row r="237" spans="2:24">
      <c r="B237" s="302"/>
      <c r="C237" s="302"/>
      <c r="D237" s="322"/>
      <c r="E237" s="322"/>
      <c r="F237" s="322" t="s">
        <v>867</v>
      </c>
      <c r="G237" s="322"/>
      <c r="H237" s="322"/>
      <c r="I237" s="322"/>
      <c r="J237" s="322"/>
      <c r="K237" s="322"/>
      <c r="L237" s="322"/>
      <c r="M237" s="302"/>
      <c r="N237" s="302"/>
      <c r="O237" s="324"/>
      <c r="P237" s="324"/>
      <c r="Q237" s="324" t="s">
        <v>868</v>
      </c>
      <c r="R237" s="324"/>
      <c r="S237" s="324"/>
      <c r="T237" s="324"/>
      <c r="U237" s="324"/>
      <c r="V237" s="324"/>
      <c r="W237" s="324"/>
      <c r="X237" s="324"/>
    </row>
    <row r="238" spans="2:24">
      <c r="B238" s="302"/>
      <c r="C238" s="302"/>
      <c r="D238" s="322"/>
      <c r="E238" s="322"/>
      <c r="F238" s="322" t="s">
        <v>869</v>
      </c>
      <c r="G238" s="322"/>
      <c r="H238" s="322"/>
      <c r="I238" s="322"/>
      <c r="J238" s="322"/>
      <c r="K238" s="322"/>
      <c r="L238" s="322"/>
      <c r="M238" s="302"/>
      <c r="N238" s="302"/>
      <c r="O238" s="324"/>
      <c r="P238" s="324"/>
      <c r="Q238" s="324" t="s">
        <v>870</v>
      </c>
      <c r="R238" s="324"/>
      <c r="S238" s="324"/>
      <c r="T238" s="324"/>
      <c r="U238" s="324"/>
      <c r="V238" s="324"/>
      <c r="W238" s="324"/>
      <c r="X238" s="324"/>
    </row>
    <row r="239" spans="2:24">
      <c r="B239" s="302"/>
      <c r="C239" s="302"/>
      <c r="D239" s="322"/>
      <c r="E239" s="322"/>
      <c r="F239" s="322" t="s">
        <v>871</v>
      </c>
      <c r="G239" s="322"/>
      <c r="H239" s="322"/>
      <c r="I239" s="322"/>
      <c r="J239" s="322"/>
      <c r="K239" s="322"/>
      <c r="L239" s="322"/>
      <c r="M239" s="302"/>
      <c r="N239" s="302"/>
      <c r="O239" s="324"/>
      <c r="P239" s="324"/>
      <c r="Q239" s="324"/>
      <c r="R239" s="324"/>
      <c r="S239" s="324"/>
      <c r="T239" s="324"/>
      <c r="U239" s="324"/>
      <c r="V239" s="324"/>
      <c r="W239" s="324"/>
      <c r="X239" s="324"/>
    </row>
    <row r="240" spans="2:24">
      <c r="B240" s="302"/>
      <c r="C240" s="302"/>
      <c r="D240" s="322"/>
      <c r="E240" s="322" t="s">
        <v>872</v>
      </c>
      <c r="F240" s="322"/>
      <c r="G240" s="322"/>
      <c r="H240" s="322"/>
      <c r="I240" s="322"/>
      <c r="J240" s="322"/>
      <c r="K240" s="322"/>
      <c r="L240" s="322"/>
      <c r="M240" s="302"/>
      <c r="N240" s="302"/>
      <c r="O240" s="325" t="s">
        <v>767</v>
      </c>
      <c r="P240" s="326"/>
      <c r="Q240" s="326"/>
      <c r="R240" s="326"/>
      <c r="S240" s="326"/>
      <c r="T240" s="326"/>
      <c r="U240" s="326"/>
      <c r="V240" s="326"/>
      <c r="W240" s="326"/>
      <c r="X240" s="326"/>
    </row>
    <row r="241" spans="2:24">
      <c r="B241" s="302"/>
      <c r="C241" s="302"/>
      <c r="D241" s="322"/>
      <c r="E241" s="322"/>
      <c r="F241" s="322" t="s">
        <v>873</v>
      </c>
      <c r="G241" s="322"/>
      <c r="H241" s="322"/>
      <c r="I241" s="322"/>
      <c r="J241" s="322"/>
      <c r="K241" s="322"/>
      <c r="L241" s="322"/>
      <c r="M241" s="302"/>
      <c r="N241" s="302"/>
      <c r="O241" s="326" t="s">
        <v>874</v>
      </c>
      <c r="P241" s="326"/>
      <c r="Q241" s="326"/>
      <c r="R241" s="326"/>
      <c r="S241" s="326"/>
      <c r="T241" s="326"/>
      <c r="U241" s="326"/>
      <c r="V241" s="326"/>
      <c r="W241" s="326"/>
      <c r="X241" s="326"/>
    </row>
    <row r="242" spans="2:24">
      <c r="B242" s="302"/>
      <c r="C242" s="302"/>
      <c r="D242" s="322"/>
      <c r="E242" s="322"/>
      <c r="F242" s="322" t="s">
        <v>875</v>
      </c>
      <c r="G242" s="322"/>
      <c r="H242" s="322"/>
      <c r="I242" s="322"/>
      <c r="J242" s="322"/>
      <c r="K242" s="322"/>
      <c r="L242" s="322"/>
      <c r="M242" s="302"/>
      <c r="N242" s="302"/>
      <c r="O242" s="326" t="s">
        <v>876</v>
      </c>
      <c r="P242" s="326"/>
      <c r="Q242" s="326"/>
      <c r="R242" s="326"/>
      <c r="S242" s="326"/>
      <c r="T242" s="326"/>
      <c r="U242" s="326"/>
      <c r="V242" s="326"/>
      <c r="W242" s="326"/>
      <c r="X242" s="326"/>
    </row>
    <row r="243" spans="2:24">
      <c r="B243" s="302"/>
      <c r="C243" s="302"/>
      <c r="D243" s="322"/>
      <c r="E243" s="322" t="s">
        <v>877</v>
      </c>
      <c r="F243" s="322"/>
      <c r="G243" s="322"/>
      <c r="H243" s="322"/>
      <c r="I243" s="322"/>
      <c r="J243" s="322"/>
      <c r="K243" s="322"/>
      <c r="L243" s="322"/>
      <c r="M243" s="302"/>
      <c r="N243" s="302"/>
      <c r="O243" s="326" t="s">
        <v>878</v>
      </c>
      <c r="P243" s="326"/>
      <c r="Q243" s="326"/>
      <c r="R243" s="326"/>
      <c r="S243" s="326"/>
      <c r="T243" s="326"/>
      <c r="U243" s="326"/>
      <c r="V243" s="326"/>
      <c r="W243" s="326"/>
      <c r="X243" s="326"/>
    </row>
    <row r="244" spans="2:24">
      <c r="B244" s="302"/>
      <c r="C244" s="302"/>
      <c r="D244" s="322"/>
      <c r="E244" s="322"/>
      <c r="F244" s="322"/>
      <c r="G244" s="322"/>
      <c r="H244" s="322"/>
      <c r="I244" s="322"/>
      <c r="J244" s="322"/>
      <c r="K244" s="322"/>
      <c r="L244" s="322"/>
      <c r="M244" s="302"/>
      <c r="N244" s="302"/>
      <c r="O244" s="326"/>
      <c r="P244" s="326"/>
      <c r="Q244" s="326"/>
      <c r="R244" s="326"/>
      <c r="S244" s="326"/>
      <c r="T244" s="326"/>
      <c r="U244" s="326"/>
      <c r="V244" s="326"/>
      <c r="W244" s="326"/>
      <c r="X244" s="326"/>
    </row>
    <row r="245" spans="2:24">
      <c r="B245" s="302"/>
      <c r="C245" s="302"/>
      <c r="D245" s="327" t="s">
        <v>668</v>
      </c>
      <c r="E245" s="328"/>
      <c r="F245" s="328"/>
      <c r="G245" s="328"/>
      <c r="H245" s="328"/>
      <c r="I245" s="328"/>
      <c r="J245" s="328"/>
      <c r="K245" s="328"/>
      <c r="L245" s="328"/>
      <c r="M245" s="302"/>
      <c r="N245" s="302"/>
      <c r="O245" s="326" t="s">
        <v>879</v>
      </c>
      <c r="P245" s="326"/>
      <c r="Q245" s="326"/>
      <c r="R245" s="326"/>
      <c r="S245" s="326"/>
      <c r="T245" s="326"/>
      <c r="U245" s="326"/>
      <c r="V245" s="326"/>
      <c r="W245" s="326"/>
      <c r="X245" s="326"/>
    </row>
    <row r="246" spans="2:24">
      <c r="B246" s="302"/>
      <c r="C246" s="302"/>
      <c r="D246" s="328" t="s">
        <v>880</v>
      </c>
      <c r="E246" s="328"/>
      <c r="F246" s="328"/>
      <c r="G246" s="328"/>
      <c r="H246" s="328"/>
      <c r="I246" s="328"/>
      <c r="J246" s="328"/>
      <c r="K246" s="328"/>
      <c r="L246" s="328"/>
      <c r="M246" s="302"/>
      <c r="N246" s="302"/>
      <c r="O246" s="326" t="s">
        <v>881</v>
      </c>
      <c r="P246" s="326"/>
      <c r="Q246" s="326"/>
      <c r="R246" s="326"/>
      <c r="S246" s="326"/>
      <c r="T246" s="326"/>
      <c r="U246" s="326"/>
      <c r="V246" s="326"/>
      <c r="W246" s="326"/>
      <c r="X246" s="326"/>
    </row>
    <row r="247" spans="2:24">
      <c r="B247" s="302"/>
      <c r="C247" s="302"/>
      <c r="D247" s="328"/>
      <c r="E247" s="328" t="s">
        <v>882</v>
      </c>
      <c r="F247" s="328"/>
      <c r="G247" s="328"/>
      <c r="H247" s="328"/>
      <c r="I247" s="328"/>
      <c r="J247" s="328"/>
      <c r="K247" s="328"/>
      <c r="L247" s="328"/>
      <c r="M247" s="302"/>
      <c r="N247" s="302"/>
      <c r="O247" s="326" t="s">
        <v>883</v>
      </c>
      <c r="P247" s="326"/>
      <c r="Q247" s="326"/>
      <c r="R247" s="326"/>
      <c r="S247" s="326"/>
      <c r="T247" s="326"/>
      <c r="U247" s="326"/>
      <c r="V247" s="326"/>
      <c r="W247" s="326"/>
      <c r="X247" s="326"/>
    </row>
    <row r="248" spans="2:24">
      <c r="B248" s="302"/>
      <c r="C248" s="302"/>
      <c r="D248" s="328"/>
      <c r="E248" s="328" t="s">
        <v>884</v>
      </c>
      <c r="F248" s="328"/>
      <c r="G248" s="328"/>
      <c r="H248" s="328"/>
      <c r="I248" s="328"/>
      <c r="J248" s="328"/>
      <c r="K248" s="328"/>
      <c r="L248" s="328"/>
      <c r="M248" s="302"/>
      <c r="N248" s="302"/>
      <c r="O248" s="326"/>
      <c r="P248" s="326" t="s">
        <v>885</v>
      </c>
      <c r="Q248" s="326"/>
      <c r="R248" s="326"/>
      <c r="S248" s="326"/>
      <c r="T248" s="326"/>
      <c r="U248" s="326"/>
      <c r="V248" s="326"/>
      <c r="W248" s="326"/>
      <c r="X248" s="326"/>
    </row>
    <row r="249" spans="2:24">
      <c r="B249" s="302"/>
      <c r="C249" s="302"/>
      <c r="D249" s="328"/>
      <c r="E249" s="328" t="s">
        <v>886</v>
      </c>
      <c r="F249" s="328"/>
      <c r="G249" s="328"/>
      <c r="H249" s="328"/>
      <c r="I249" s="328"/>
      <c r="J249" s="328"/>
      <c r="K249" s="328"/>
      <c r="L249" s="328"/>
      <c r="M249" s="302"/>
      <c r="N249" s="302"/>
      <c r="O249" s="326" t="s">
        <v>887</v>
      </c>
      <c r="P249" s="326"/>
      <c r="Q249" s="326"/>
      <c r="R249" s="326"/>
      <c r="S249" s="326"/>
      <c r="T249" s="326"/>
      <c r="U249" s="326"/>
      <c r="V249" s="326"/>
      <c r="W249" s="326"/>
      <c r="X249" s="326"/>
    </row>
    <row r="250" spans="2:24">
      <c r="B250" s="302"/>
      <c r="C250" s="302"/>
      <c r="D250" s="328" t="s">
        <v>888</v>
      </c>
      <c r="E250" s="328"/>
      <c r="F250" s="328"/>
      <c r="G250" s="328"/>
      <c r="H250" s="328"/>
      <c r="I250" s="328"/>
      <c r="J250" s="328"/>
      <c r="K250" s="328"/>
      <c r="L250" s="328"/>
      <c r="M250" s="302"/>
      <c r="N250" s="302"/>
      <c r="O250" s="326"/>
      <c r="P250" s="326" t="s">
        <v>889</v>
      </c>
      <c r="Q250" s="326"/>
      <c r="R250" s="326"/>
      <c r="S250" s="326"/>
      <c r="T250" s="326"/>
      <c r="U250" s="326"/>
      <c r="V250" s="326"/>
      <c r="W250" s="326"/>
      <c r="X250" s="326"/>
    </row>
    <row r="251" spans="2:24">
      <c r="B251" s="302"/>
      <c r="C251" s="302"/>
      <c r="D251" s="328"/>
      <c r="E251" s="328" t="s">
        <v>890</v>
      </c>
      <c r="F251" s="328"/>
      <c r="G251" s="328"/>
      <c r="H251" s="328"/>
      <c r="I251" s="328"/>
      <c r="J251" s="328"/>
      <c r="K251" s="328"/>
      <c r="L251" s="328"/>
      <c r="M251" s="302"/>
      <c r="N251" s="302"/>
      <c r="O251" s="326"/>
      <c r="P251" s="326"/>
      <c r="Q251" s="326"/>
      <c r="R251" s="326"/>
      <c r="S251" s="326"/>
      <c r="T251" s="326"/>
      <c r="U251" s="326"/>
      <c r="V251" s="326"/>
      <c r="W251" s="326"/>
      <c r="X251" s="326"/>
    </row>
    <row r="252" spans="2:24">
      <c r="B252" s="302"/>
      <c r="C252" s="302"/>
      <c r="D252" s="328" t="s">
        <v>891</v>
      </c>
      <c r="E252" s="328"/>
      <c r="F252" s="328"/>
      <c r="G252" s="328"/>
      <c r="H252" s="328"/>
      <c r="I252" s="328"/>
      <c r="J252" s="328"/>
      <c r="K252" s="328"/>
      <c r="L252" s="328"/>
      <c r="M252" s="302"/>
      <c r="N252" s="302"/>
      <c r="O252" s="326"/>
      <c r="P252" s="326"/>
      <c r="Q252" s="326"/>
      <c r="R252" s="326"/>
      <c r="S252" s="326"/>
      <c r="T252" s="326"/>
      <c r="U252" s="326"/>
      <c r="V252" s="326"/>
      <c r="W252" s="326"/>
      <c r="X252" s="326"/>
    </row>
    <row r="253" spans="2:24">
      <c r="B253" s="302"/>
      <c r="C253" s="302"/>
      <c r="D253" s="328"/>
      <c r="E253" s="328"/>
      <c r="F253" s="328"/>
      <c r="G253" s="328"/>
      <c r="H253" s="328"/>
      <c r="I253" s="328"/>
      <c r="J253" s="328"/>
      <c r="K253" s="328"/>
      <c r="L253" s="328"/>
      <c r="M253" s="302"/>
      <c r="N253" s="302"/>
      <c r="O253" s="326"/>
      <c r="P253" s="326"/>
      <c r="Q253" s="326"/>
      <c r="R253" s="326"/>
      <c r="S253" s="326"/>
      <c r="T253" s="326"/>
      <c r="U253" s="326"/>
      <c r="V253" s="326"/>
      <c r="W253" s="326"/>
      <c r="X253" s="326"/>
    </row>
    <row r="254" spans="2:24">
      <c r="B254" s="295"/>
      <c r="C254" s="295"/>
      <c r="D254" s="328"/>
      <c r="E254" s="328"/>
      <c r="F254" s="328"/>
      <c r="G254" s="328"/>
      <c r="H254" s="328"/>
      <c r="I254" s="328"/>
      <c r="J254" s="328"/>
      <c r="K254" s="328"/>
      <c r="L254" s="328"/>
      <c r="M254" s="302"/>
      <c r="N254" s="302"/>
      <c r="O254" s="326"/>
      <c r="P254" s="326"/>
      <c r="Q254" s="326"/>
      <c r="R254" s="326"/>
      <c r="S254" s="326"/>
      <c r="T254" s="326"/>
      <c r="U254" s="326"/>
      <c r="V254" s="326"/>
      <c r="W254" s="326"/>
      <c r="X254" s="326"/>
    </row>
    <row r="255" spans="2:24">
      <c r="B255" s="295"/>
      <c r="C255" s="295"/>
      <c r="D255" s="328"/>
      <c r="E255" s="328"/>
      <c r="F255" s="328"/>
      <c r="G255" s="328"/>
      <c r="H255" s="328"/>
      <c r="I255" s="328"/>
      <c r="J255" s="328"/>
      <c r="K255" s="328"/>
      <c r="L255" s="328"/>
      <c r="M255" s="302"/>
      <c r="N255" s="302"/>
      <c r="O255" s="326"/>
      <c r="P255" s="326"/>
      <c r="Q255" s="326"/>
      <c r="R255" s="326"/>
      <c r="S255" s="326"/>
      <c r="T255" s="326"/>
      <c r="U255" s="326"/>
      <c r="V255" s="326"/>
      <c r="W255" s="326"/>
      <c r="X255" s="326"/>
    </row>
    <row r="256" spans="2:24">
      <c r="B256" s="295"/>
      <c r="C256" s="295"/>
      <c r="D256" s="328"/>
      <c r="E256" s="328"/>
      <c r="F256" s="328"/>
      <c r="G256" s="328"/>
      <c r="H256" s="328"/>
      <c r="I256" s="328"/>
      <c r="J256" s="328"/>
      <c r="K256" s="328"/>
      <c r="L256" s="328"/>
      <c r="M256" s="302"/>
      <c r="N256" s="302"/>
      <c r="O256" s="326"/>
      <c r="P256" s="326"/>
      <c r="Q256" s="326"/>
      <c r="R256" s="326"/>
      <c r="S256" s="326"/>
      <c r="T256" s="326"/>
      <c r="U256" s="326"/>
      <c r="V256" s="326"/>
      <c r="W256" s="326"/>
      <c r="X256" s="326"/>
    </row>
    <row r="257" spans="2:24">
      <c r="B257" s="295"/>
      <c r="C257" s="295"/>
      <c r="D257" s="328"/>
      <c r="E257" s="328"/>
      <c r="F257" s="328"/>
      <c r="G257" s="328"/>
      <c r="H257" s="328"/>
      <c r="I257" s="328"/>
      <c r="J257" s="328"/>
      <c r="K257" s="328"/>
      <c r="L257" s="328"/>
      <c r="M257" s="302"/>
      <c r="N257" s="302"/>
      <c r="O257" s="326"/>
      <c r="P257" s="326"/>
      <c r="Q257" s="326"/>
      <c r="R257" s="326"/>
      <c r="S257" s="326"/>
      <c r="T257" s="326"/>
      <c r="U257" s="326"/>
      <c r="V257" s="326"/>
      <c r="W257" s="326"/>
      <c r="X257" s="326"/>
    </row>
    <row r="258" spans="2:24">
      <c r="B258" s="295"/>
      <c r="C258" s="295"/>
      <c r="D258" s="328"/>
      <c r="E258" s="328"/>
      <c r="F258" s="328"/>
      <c r="G258" s="328"/>
      <c r="H258" s="328"/>
      <c r="I258" s="328"/>
      <c r="J258" s="328"/>
      <c r="K258" s="328"/>
      <c r="L258" s="328"/>
      <c r="M258" s="302"/>
      <c r="N258" s="302"/>
      <c r="O258" s="326"/>
      <c r="P258" s="326"/>
      <c r="Q258" s="326"/>
      <c r="R258" s="326"/>
      <c r="S258" s="326"/>
      <c r="T258" s="326"/>
      <c r="U258" s="326"/>
      <c r="V258" s="326"/>
      <c r="W258" s="326"/>
      <c r="X258" s="326"/>
    </row>
    <row r="259" spans="2:24">
      <c r="B259" s="295"/>
      <c r="C259" s="295"/>
      <c r="D259" s="328"/>
      <c r="E259" s="328"/>
      <c r="F259" s="328"/>
      <c r="G259" s="328"/>
      <c r="H259" s="328"/>
      <c r="I259" s="328"/>
      <c r="J259" s="328"/>
      <c r="K259" s="328"/>
      <c r="L259" s="328"/>
      <c r="M259" s="302"/>
      <c r="N259" s="302"/>
      <c r="O259" s="326"/>
      <c r="P259" s="326"/>
      <c r="Q259" s="326"/>
      <c r="R259" s="326"/>
      <c r="S259" s="326"/>
      <c r="T259" s="326"/>
      <c r="U259" s="326"/>
      <c r="V259" s="326"/>
      <c r="W259" s="326"/>
      <c r="X259" s="326"/>
    </row>
    <row r="260" spans="2:24">
      <c r="B260" s="295"/>
      <c r="C260" s="295"/>
      <c r="D260" s="328"/>
      <c r="E260" s="328"/>
      <c r="F260" s="328"/>
      <c r="G260" s="328"/>
      <c r="H260" s="328"/>
      <c r="I260" s="328"/>
      <c r="J260" s="328"/>
      <c r="K260" s="328"/>
      <c r="L260" s="328"/>
      <c r="M260" s="302"/>
      <c r="N260" s="302"/>
      <c r="O260" s="326"/>
      <c r="P260" s="326"/>
      <c r="Q260" s="326"/>
      <c r="R260" s="326"/>
      <c r="S260" s="326"/>
      <c r="T260" s="326"/>
      <c r="U260" s="326"/>
      <c r="V260" s="326"/>
      <c r="W260" s="326"/>
      <c r="X260" s="326"/>
    </row>
    <row r="261" spans="2:24">
      <c r="B261" s="295"/>
      <c r="C261" s="295"/>
      <c r="D261" s="328"/>
      <c r="E261" s="328"/>
      <c r="F261" s="328"/>
      <c r="G261" s="328"/>
      <c r="H261" s="328"/>
      <c r="I261" s="328"/>
      <c r="J261" s="328"/>
      <c r="K261" s="328"/>
      <c r="L261" s="328"/>
      <c r="M261" s="302"/>
      <c r="N261" s="302"/>
      <c r="O261" s="326"/>
      <c r="P261" s="326"/>
      <c r="Q261" s="326"/>
      <c r="R261" s="326"/>
      <c r="S261" s="326"/>
      <c r="T261" s="326"/>
      <c r="U261" s="326"/>
      <c r="V261" s="326"/>
      <c r="W261" s="326"/>
      <c r="X261" s="326"/>
    </row>
    <row r="262" spans="2:24">
      <c r="B262" s="295"/>
      <c r="C262" s="295"/>
      <c r="D262" s="328"/>
      <c r="E262" s="328"/>
      <c r="F262" s="328"/>
      <c r="G262" s="328"/>
      <c r="H262" s="328"/>
      <c r="I262" s="328"/>
      <c r="J262" s="328"/>
      <c r="K262" s="328"/>
      <c r="L262" s="328"/>
      <c r="M262" s="302"/>
      <c r="N262" s="302"/>
      <c r="O262" s="326"/>
      <c r="P262" s="326"/>
      <c r="Q262" s="326"/>
      <c r="R262" s="326"/>
      <c r="S262" s="326"/>
      <c r="T262" s="326"/>
      <c r="U262" s="326"/>
      <c r="V262" s="326"/>
      <c r="W262" s="326"/>
      <c r="X262" s="326"/>
    </row>
    <row r="263" spans="2:24">
      <c r="B263" s="295"/>
      <c r="C263" s="295"/>
      <c r="D263" s="328"/>
      <c r="E263" s="328"/>
      <c r="F263" s="328"/>
      <c r="G263" s="328"/>
      <c r="H263" s="328"/>
      <c r="I263" s="328"/>
      <c r="J263" s="328"/>
      <c r="K263" s="328"/>
      <c r="L263" s="328"/>
      <c r="M263" s="302"/>
      <c r="N263" s="302"/>
      <c r="O263" s="326"/>
      <c r="P263" s="326"/>
      <c r="Q263" s="326"/>
      <c r="R263" s="326"/>
      <c r="S263" s="326"/>
      <c r="T263" s="326"/>
      <c r="U263" s="326"/>
      <c r="V263" s="326"/>
      <c r="W263" s="326"/>
      <c r="X263" s="326"/>
    </row>
    <row r="264" spans="2:24">
      <c r="B264" s="295"/>
      <c r="C264" s="295"/>
      <c r="D264" s="328"/>
      <c r="E264" s="328"/>
      <c r="F264" s="328"/>
      <c r="G264" s="328"/>
      <c r="H264" s="328"/>
      <c r="I264" s="328"/>
      <c r="J264" s="328"/>
      <c r="K264" s="328"/>
      <c r="L264" s="328"/>
      <c r="M264" s="302"/>
      <c r="N264" s="302"/>
      <c r="O264" s="326"/>
      <c r="P264" s="326"/>
      <c r="Q264" s="326"/>
      <c r="R264" s="326"/>
      <c r="S264" s="326"/>
      <c r="T264" s="326"/>
      <c r="U264" s="326"/>
      <c r="V264" s="326"/>
      <c r="W264" s="326"/>
      <c r="X264" s="326"/>
    </row>
    <row r="265" spans="2:24">
      <c r="B265" s="295"/>
      <c r="C265" s="295"/>
      <c r="D265" s="328"/>
      <c r="E265" s="328"/>
      <c r="F265" s="328"/>
      <c r="G265" s="328"/>
      <c r="H265" s="328"/>
      <c r="I265" s="328"/>
      <c r="J265" s="328"/>
      <c r="K265" s="328"/>
      <c r="L265" s="328"/>
      <c r="M265" s="302"/>
      <c r="N265" s="302"/>
      <c r="O265" s="326"/>
      <c r="P265" s="326"/>
      <c r="Q265" s="326"/>
      <c r="R265" s="326"/>
      <c r="S265" s="326"/>
      <c r="T265" s="326"/>
      <c r="U265" s="326"/>
      <c r="V265" s="326"/>
      <c r="W265" s="326"/>
      <c r="X265" s="326"/>
    </row>
    <row r="266" spans="2:24">
      <c r="B266" s="295"/>
      <c r="C266" s="295"/>
      <c r="D266" s="328"/>
      <c r="E266" s="328"/>
      <c r="F266" s="328"/>
      <c r="G266" s="328"/>
      <c r="H266" s="328"/>
      <c r="I266" s="328"/>
      <c r="J266" s="328"/>
      <c r="K266" s="328"/>
      <c r="L266" s="328"/>
      <c r="M266" s="302"/>
      <c r="N266" s="302"/>
      <c r="O266" s="326"/>
      <c r="P266" s="326"/>
      <c r="Q266" s="326"/>
      <c r="R266" s="326"/>
      <c r="S266" s="326"/>
      <c r="T266" s="326"/>
      <c r="U266" s="326"/>
      <c r="V266" s="326"/>
      <c r="W266" s="326"/>
      <c r="X266" s="326"/>
    </row>
    <row r="267" spans="2:24">
      <c r="B267" s="295"/>
      <c r="C267" s="295"/>
      <c r="D267" s="328"/>
      <c r="E267" s="328"/>
      <c r="F267" s="328"/>
      <c r="G267" s="328"/>
      <c r="H267" s="328"/>
      <c r="I267" s="328"/>
      <c r="J267" s="328"/>
      <c r="K267" s="328"/>
      <c r="L267" s="328"/>
      <c r="M267" s="302"/>
      <c r="N267" s="302"/>
      <c r="O267" s="326"/>
      <c r="P267" s="326"/>
      <c r="Q267" s="326"/>
      <c r="R267" s="326"/>
      <c r="S267" s="326"/>
      <c r="T267" s="326"/>
      <c r="U267" s="326"/>
      <c r="V267" s="326"/>
      <c r="W267" s="326"/>
      <c r="X267" s="326"/>
    </row>
    <row r="268" spans="2:24">
      <c r="B268" s="295"/>
      <c r="C268" s="295"/>
      <c r="D268" s="328"/>
      <c r="E268" s="328"/>
      <c r="F268" s="328"/>
      <c r="G268" s="328"/>
      <c r="H268" s="328"/>
      <c r="I268" s="328"/>
      <c r="J268" s="328"/>
      <c r="K268" s="328"/>
      <c r="L268" s="328"/>
      <c r="M268" s="302"/>
      <c r="N268" s="302"/>
      <c r="O268" s="326"/>
      <c r="P268" s="326"/>
      <c r="Q268" s="326"/>
      <c r="R268" s="326"/>
      <c r="S268" s="326"/>
      <c r="T268" s="326"/>
      <c r="U268" s="326"/>
      <c r="V268" s="326"/>
      <c r="W268" s="326"/>
      <c r="X268" s="326"/>
    </row>
    <row r="269" spans="2:24">
      <c r="B269" s="295"/>
      <c r="C269" s="295"/>
      <c r="D269" s="328"/>
      <c r="E269" s="328"/>
      <c r="F269" s="328"/>
      <c r="G269" s="328"/>
      <c r="H269" s="328"/>
      <c r="I269" s="328"/>
      <c r="J269" s="328"/>
      <c r="K269" s="328"/>
      <c r="L269" s="328"/>
      <c r="M269" s="302"/>
      <c r="N269" s="302"/>
      <c r="O269" s="326"/>
      <c r="P269" s="326"/>
      <c r="Q269" s="326"/>
      <c r="R269" s="326"/>
      <c r="S269" s="326"/>
      <c r="T269" s="326"/>
      <c r="U269" s="326"/>
      <c r="V269" s="326"/>
      <c r="W269" s="326"/>
      <c r="X269" s="326"/>
    </row>
    <row r="270" spans="2:24">
      <c r="B270" s="295"/>
      <c r="C270" s="295"/>
      <c r="D270" s="328"/>
      <c r="E270" s="328"/>
      <c r="F270" s="328"/>
      <c r="G270" s="328"/>
      <c r="H270" s="328"/>
      <c r="I270" s="328"/>
      <c r="J270" s="328"/>
      <c r="K270" s="328"/>
      <c r="L270" s="328"/>
      <c r="M270" s="302"/>
      <c r="N270" s="302"/>
      <c r="O270" s="326"/>
      <c r="P270" s="326"/>
      <c r="Q270" s="326"/>
      <c r="R270" s="326"/>
      <c r="S270" s="326"/>
      <c r="T270" s="326"/>
      <c r="U270" s="326"/>
      <c r="V270" s="326"/>
      <c r="W270" s="326"/>
      <c r="X270" s="326"/>
    </row>
    <row r="271" spans="2:24">
      <c r="B271" s="295"/>
      <c r="C271" s="295"/>
      <c r="D271" s="328"/>
      <c r="E271" s="328"/>
      <c r="F271" s="328"/>
      <c r="G271" s="328"/>
      <c r="H271" s="328"/>
      <c r="I271" s="328"/>
      <c r="J271" s="328"/>
      <c r="K271" s="328"/>
      <c r="L271" s="328"/>
      <c r="M271" s="302"/>
      <c r="N271" s="302"/>
      <c r="O271" s="326"/>
      <c r="P271" s="326"/>
      <c r="Q271" s="326"/>
      <c r="R271" s="326"/>
      <c r="S271" s="326"/>
      <c r="T271" s="326"/>
      <c r="U271" s="326"/>
      <c r="V271" s="326"/>
      <c r="W271" s="326"/>
      <c r="X271" s="326"/>
    </row>
    <row r="272" spans="2:24">
      <c r="B272" s="295"/>
      <c r="C272" s="295"/>
      <c r="D272" s="328"/>
      <c r="E272" s="328"/>
      <c r="F272" s="328"/>
      <c r="G272" s="328"/>
      <c r="H272" s="328"/>
      <c r="I272" s="328"/>
      <c r="J272" s="328"/>
      <c r="K272" s="328"/>
      <c r="L272" s="328"/>
      <c r="M272" s="302"/>
      <c r="N272" s="302"/>
      <c r="O272" s="326"/>
      <c r="P272" s="326"/>
      <c r="Q272" s="326"/>
      <c r="R272" s="326"/>
      <c r="S272" s="326"/>
      <c r="T272" s="326"/>
      <c r="U272" s="326"/>
      <c r="V272" s="326"/>
      <c r="W272" s="326"/>
      <c r="X272" s="326"/>
    </row>
    <row r="273" spans="2:24">
      <c r="B273" s="295"/>
      <c r="C273" s="295"/>
      <c r="D273" s="328"/>
      <c r="E273" s="328"/>
      <c r="F273" s="328"/>
      <c r="G273" s="328"/>
      <c r="H273" s="328"/>
      <c r="I273" s="328"/>
      <c r="J273" s="328"/>
      <c r="K273" s="328"/>
      <c r="L273" s="328"/>
      <c r="M273" s="302"/>
      <c r="N273" s="302"/>
      <c r="O273" s="326"/>
      <c r="P273" s="326"/>
      <c r="Q273" s="326"/>
      <c r="R273" s="326"/>
      <c r="S273" s="326"/>
      <c r="T273" s="326"/>
      <c r="U273" s="326"/>
      <c r="V273" s="326"/>
      <c r="W273" s="326"/>
      <c r="X273" s="326"/>
    </row>
    <row r="274" spans="2:24">
      <c r="B274" s="295"/>
      <c r="C274" s="295"/>
      <c r="D274" s="328"/>
      <c r="E274" s="328"/>
      <c r="F274" s="328"/>
      <c r="G274" s="328"/>
      <c r="H274" s="328"/>
      <c r="I274" s="328"/>
      <c r="J274" s="328"/>
      <c r="K274" s="328"/>
      <c r="L274" s="328"/>
      <c r="M274" s="302"/>
      <c r="N274" s="302"/>
      <c r="O274" s="326"/>
      <c r="P274" s="326"/>
      <c r="Q274" s="326"/>
      <c r="R274" s="326"/>
      <c r="S274" s="326"/>
      <c r="T274" s="326"/>
      <c r="U274" s="326"/>
      <c r="V274" s="326"/>
      <c r="W274" s="326"/>
      <c r="X274" s="326"/>
    </row>
    <row r="275" spans="2:24">
      <c r="B275" s="295"/>
      <c r="C275" s="295"/>
      <c r="D275" s="328"/>
      <c r="E275" s="328"/>
      <c r="F275" s="328"/>
      <c r="G275" s="328"/>
      <c r="H275" s="328"/>
      <c r="I275" s="328"/>
      <c r="J275" s="328"/>
      <c r="K275" s="328"/>
      <c r="L275" s="328"/>
      <c r="M275" s="302"/>
      <c r="N275" s="302"/>
      <c r="O275" s="326"/>
      <c r="P275" s="326"/>
      <c r="Q275" s="326"/>
      <c r="R275" s="326"/>
      <c r="S275" s="326"/>
      <c r="T275" s="326"/>
      <c r="U275" s="326"/>
      <c r="V275" s="326"/>
      <c r="W275" s="326"/>
      <c r="X275" s="326"/>
    </row>
    <row r="276" spans="2:24">
      <c r="B276" s="295"/>
      <c r="C276" s="295"/>
      <c r="D276" s="328"/>
      <c r="E276" s="328"/>
      <c r="F276" s="328"/>
      <c r="G276" s="328"/>
      <c r="H276" s="328"/>
      <c r="I276" s="328"/>
      <c r="J276" s="328"/>
      <c r="K276" s="328"/>
      <c r="L276" s="328"/>
      <c r="M276" s="302"/>
      <c r="N276" s="302"/>
      <c r="O276" s="326"/>
      <c r="P276" s="326"/>
      <c r="Q276" s="326"/>
      <c r="R276" s="326"/>
      <c r="S276" s="326"/>
      <c r="T276" s="326"/>
      <c r="U276" s="326"/>
      <c r="V276" s="326"/>
      <c r="W276" s="326"/>
      <c r="X276" s="326"/>
    </row>
    <row r="277" spans="2:24">
      <c r="B277" s="295"/>
      <c r="C277" s="295"/>
      <c r="D277" s="328"/>
      <c r="E277" s="328"/>
      <c r="F277" s="328"/>
      <c r="G277" s="328"/>
      <c r="H277" s="328"/>
      <c r="I277" s="328"/>
      <c r="J277" s="328"/>
      <c r="K277" s="328"/>
      <c r="L277" s="328"/>
      <c r="M277" s="302"/>
      <c r="N277" s="302"/>
      <c r="O277" s="326"/>
      <c r="P277" s="326"/>
      <c r="Q277" s="326"/>
      <c r="R277" s="326"/>
      <c r="S277" s="326"/>
      <c r="T277" s="326"/>
      <c r="U277" s="326"/>
      <c r="V277" s="326"/>
      <c r="W277" s="326"/>
      <c r="X277" s="326"/>
    </row>
    <row r="278" spans="2:24">
      <c r="B278" s="295"/>
      <c r="C278" s="295"/>
      <c r="D278" s="328"/>
      <c r="E278" s="328"/>
      <c r="F278" s="328"/>
      <c r="G278" s="328"/>
      <c r="H278" s="328"/>
      <c r="I278" s="328"/>
      <c r="J278" s="328"/>
      <c r="K278" s="328"/>
      <c r="L278" s="328"/>
      <c r="M278" s="302"/>
      <c r="N278" s="302"/>
      <c r="O278" s="326"/>
      <c r="P278" s="326"/>
      <c r="Q278" s="326"/>
      <c r="R278" s="326"/>
      <c r="S278" s="326"/>
      <c r="T278" s="326"/>
      <c r="U278" s="326"/>
      <c r="V278" s="326"/>
      <c r="W278" s="326"/>
      <c r="X278" s="326"/>
    </row>
    <row r="279" spans="2:24">
      <c r="B279" s="295"/>
      <c r="C279" s="295"/>
      <c r="D279" s="328"/>
      <c r="E279" s="328"/>
      <c r="F279" s="328"/>
      <c r="G279" s="328"/>
      <c r="H279" s="328"/>
      <c r="I279" s="328"/>
      <c r="J279" s="328"/>
      <c r="K279" s="328"/>
      <c r="L279" s="328"/>
      <c r="M279" s="302"/>
      <c r="N279" s="302"/>
      <c r="O279" s="326"/>
      <c r="P279" s="326"/>
      <c r="Q279" s="326"/>
      <c r="R279" s="326"/>
      <c r="S279" s="326"/>
      <c r="T279" s="326"/>
      <c r="U279" s="326"/>
      <c r="V279" s="326"/>
      <c r="W279" s="326"/>
      <c r="X279" s="326"/>
    </row>
    <row r="280" spans="2:24">
      <c r="B280" s="295"/>
      <c r="C280" s="295"/>
      <c r="D280" s="328"/>
      <c r="E280" s="328"/>
      <c r="F280" s="328"/>
      <c r="G280" s="328"/>
      <c r="H280" s="328"/>
      <c r="I280" s="328"/>
      <c r="J280" s="328"/>
      <c r="K280" s="328"/>
      <c r="L280" s="328"/>
      <c r="M280" s="302"/>
      <c r="N280" s="302"/>
      <c r="O280" s="326"/>
      <c r="P280" s="326"/>
      <c r="Q280" s="326"/>
      <c r="R280" s="326"/>
      <c r="S280" s="326"/>
      <c r="T280" s="326"/>
      <c r="U280" s="326"/>
      <c r="V280" s="326"/>
      <c r="W280" s="326"/>
      <c r="X280" s="326"/>
    </row>
    <row r="281" spans="2:24">
      <c r="B281" s="295"/>
      <c r="C281" s="295"/>
      <c r="D281" s="328"/>
      <c r="E281" s="328"/>
      <c r="F281" s="328"/>
      <c r="G281" s="328"/>
      <c r="H281" s="328"/>
      <c r="I281" s="328"/>
      <c r="J281" s="328"/>
      <c r="K281" s="328"/>
      <c r="L281" s="328"/>
      <c r="M281" s="302"/>
      <c r="N281" s="302"/>
      <c r="O281" s="326"/>
      <c r="P281" s="326"/>
      <c r="Q281" s="326"/>
      <c r="R281" s="326"/>
      <c r="S281" s="326"/>
      <c r="T281" s="326"/>
      <c r="U281" s="326"/>
      <c r="V281" s="326"/>
      <c r="W281" s="326"/>
      <c r="X281" s="326"/>
    </row>
    <row r="282" spans="2:24">
      <c r="B282" s="295"/>
      <c r="C282" s="295"/>
      <c r="D282" s="328"/>
      <c r="E282" s="328"/>
      <c r="F282" s="328"/>
      <c r="G282" s="328"/>
      <c r="H282" s="328"/>
      <c r="I282" s="328"/>
      <c r="J282" s="328"/>
      <c r="K282" s="328"/>
      <c r="L282" s="328"/>
      <c r="M282" s="302"/>
      <c r="N282" s="302"/>
      <c r="O282" s="326"/>
      <c r="P282" s="326"/>
      <c r="Q282" s="326"/>
      <c r="R282" s="326"/>
      <c r="S282" s="326"/>
      <c r="T282" s="326"/>
      <c r="U282" s="326"/>
      <c r="V282" s="326"/>
      <c r="W282" s="326"/>
      <c r="X282" s="326"/>
    </row>
    <row r="283" spans="2:24">
      <c r="B283" s="295"/>
      <c r="C283" s="295"/>
      <c r="D283" s="329" t="s">
        <v>665</v>
      </c>
      <c r="E283" s="330"/>
      <c r="F283" s="330"/>
      <c r="G283" s="330"/>
      <c r="H283" s="330"/>
      <c r="I283" s="330"/>
      <c r="J283" s="330"/>
      <c r="K283" s="330"/>
      <c r="L283" s="330"/>
      <c r="M283" s="302"/>
      <c r="N283" s="302"/>
      <c r="O283" s="326"/>
      <c r="P283" s="326"/>
      <c r="Q283" s="326"/>
      <c r="R283" s="326"/>
      <c r="S283" s="326"/>
      <c r="T283" s="326"/>
      <c r="U283" s="326"/>
      <c r="V283" s="326"/>
      <c r="W283" s="326"/>
      <c r="X283" s="326"/>
    </row>
    <row r="284" spans="2:24">
      <c r="B284" s="295"/>
      <c r="C284" s="295"/>
      <c r="D284" s="330" t="s">
        <v>892</v>
      </c>
      <c r="E284" s="330"/>
      <c r="F284" s="330"/>
      <c r="G284" s="330"/>
      <c r="H284" s="330"/>
      <c r="I284" s="330"/>
      <c r="J284" s="330"/>
      <c r="K284" s="330"/>
      <c r="L284" s="330"/>
      <c r="M284" s="302"/>
      <c r="N284" s="302"/>
      <c r="O284" s="326"/>
      <c r="P284" s="326"/>
      <c r="Q284" s="326"/>
      <c r="R284" s="326"/>
      <c r="S284" s="326"/>
      <c r="T284" s="326"/>
      <c r="U284" s="326"/>
      <c r="V284" s="326"/>
      <c r="W284" s="326"/>
      <c r="X284" s="326"/>
    </row>
    <row r="285" spans="2:24">
      <c r="B285" s="295"/>
      <c r="C285" s="295"/>
      <c r="D285" s="330" t="s">
        <v>893</v>
      </c>
      <c r="E285" s="330"/>
      <c r="F285" s="330"/>
      <c r="G285" s="330"/>
      <c r="H285" s="330"/>
      <c r="I285" s="330"/>
      <c r="J285" s="330"/>
      <c r="K285" s="330"/>
      <c r="L285" s="330"/>
      <c r="M285" s="302"/>
      <c r="N285" s="302"/>
      <c r="O285" s="326"/>
      <c r="P285" s="326"/>
      <c r="Q285" s="326"/>
      <c r="R285" s="326"/>
      <c r="S285" s="326"/>
      <c r="T285" s="326"/>
      <c r="U285" s="326"/>
      <c r="V285" s="326"/>
      <c r="W285" s="326"/>
      <c r="X285" s="326"/>
    </row>
    <row r="286" spans="2:24">
      <c r="B286" s="295"/>
      <c r="C286" s="295"/>
      <c r="D286" s="330"/>
      <c r="E286" s="330" t="s">
        <v>894</v>
      </c>
      <c r="F286" s="330"/>
      <c r="G286" s="330"/>
      <c r="H286" s="330"/>
      <c r="I286" s="330"/>
      <c r="J286" s="330"/>
      <c r="K286" s="330"/>
      <c r="L286" s="330"/>
      <c r="M286" s="302"/>
      <c r="N286" s="302"/>
      <c r="O286" s="326"/>
      <c r="P286" s="326"/>
      <c r="Q286" s="326"/>
      <c r="R286" s="326"/>
      <c r="S286" s="326"/>
      <c r="T286" s="326"/>
      <c r="U286" s="326"/>
      <c r="V286" s="326"/>
      <c r="W286" s="326"/>
      <c r="X286" s="326"/>
    </row>
    <row r="287" spans="2:24">
      <c r="B287" s="295"/>
      <c r="C287" s="295"/>
      <c r="D287" s="330"/>
      <c r="E287" s="330" t="s">
        <v>895</v>
      </c>
      <c r="F287" s="330"/>
      <c r="G287" s="330"/>
      <c r="H287" s="330"/>
      <c r="I287" s="330"/>
      <c r="J287" s="330"/>
      <c r="K287" s="330"/>
      <c r="L287" s="330"/>
      <c r="M287" s="302"/>
      <c r="N287" s="302"/>
      <c r="O287" s="326"/>
      <c r="P287" s="326"/>
      <c r="Q287" s="326"/>
      <c r="R287" s="326"/>
      <c r="S287" s="326"/>
      <c r="T287" s="326"/>
      <c r="U287" s="326"/>
      <c r="V287" s="326"/>
      <c r="W287" s="326"/>
      <c r="X287" s="326"/>
    </row>
    <row r="288" spans="2:24">
      <c r="B288" s="295"/>
      <c r="C288" s="295"/>
      <c r="D288" s="330" t="s">
        <v>896</v>
      </c>
      <c r="E288" s="330"/>
      <c r="F288" s="330"/>
      <c r="G288" s="330"/>
      <c r="H288" s="330"/>
      <c r="I288" s="330"/>
      <c r="J288" s="330"/>
      <c r="K288" s="330"/>
      <c r="L288" s="330"/>
      <c r="M288" s="302"/>
      <c r="N288" s="302"/>
      <c r="O288" s="326"/>
      <c r="P288" s="326"/>
      <c r="Q288" s="326"/>
      <c r="R288" s="326"/>
      <c r="S288" s="326"/>
      <c r="T288" s="326"/>
      <c r="U288" s="326"/>
      <c r="V288" s="326"/>
      <c r="W288" s="326"/>
      <c r="X288" s="326"/>
    </row>
    <row r="289" spans="2:24">
      <c r="B289" s="295"/>
      <c r="C289" s="295"/>
      <c r="D289" s="330" t="s">
        <v>897</v>
      </c>
      <c r="E289" s="330"/>
      <c r="F289" s="330"/>
      <c r="G289" s="330"/>
      <c r="H289" s="330"/>
      <c r="I289" s="330"/>
      <c r="J289" s="330"/>
      <c r="K289" s="330"/>
      <c r="L289" s="330"/>
      <c r="M289" s="302"/>
      <c r="N289" s="302"/>
      <c r="O289" s="326"/>
      <c r="P289" s="326"/>
      <c r="Q289" s="326"/>
      <c r="R289" s="326"/>
      <c r="S289" s="326"/>
      <c r="T289" s="326"/>
      <c r="U289" s="326"/>
      <c r="V289" s="326"/>
      <c r="W289" s="326"/>
      <c r="X289" s="326"/>
    </row>
    <row r="290" spans="2:24">
      <c r="B290" s="295"/>
      <c r="C290" s="295"/>
      <c r="D290" s="330"/>
      <c r="E290" s="330"/>
      <c r="F290" s="330"/>
      <c r="G290" s="330"/>
      <c r="H290" s="330"/>
      <c r="I290" s="330"/>
      <c r="J290" s="330"/>
      <c r="K290" s="330"/>
      <c r="L290" s="330"/>
      <c r="M290" s="302"/>
      <c r="N290" s="302"/>
      <c r="O290" s="326"/>
      <c r="P290" s="326"/>
      <c r="Q290" s="326"/>
      <c r="R290" s="326"/>
      <c r="S290" s="326"/>
      <c r="T290" s="326"/>
      <c r="U290" s="326"/>
      <c r="V290" s="326"/>
      <c r="W290" s="326"/>
      <c r="X290" s="326"/>
    </row>
    <row r="291" spans="2:24">
      <c r="B291" s="295"/>
      <c r="C291" s="295"/>
      <c r="D291" s="330"/>
      <c r="E291" s="330"/>
      <c r="F291" s="330"/>
      <c r="G291" s="330"/>
      <c r="H291" s="330"/>
      <c r="I291" s="330"/>
      <c r="J291" s="330"/>
      <c r="K291" s="330"/>
      <c r="L291" s="330"/>
      <c r="M291" s="302"/>
      <c r="N291" s="302"/>
      <c r="O291" s="326"/>
      <c r="P291" s="326"/>
      <c r="Q291" s="326"/>
      <c r="R291" s="326"/>
      <c r="S291" s="326"/>
      <c r="T291" s="326"/>
      <c r="U291" s="326"/>
      <c r="V291" s="326"/>
      <c r="W291" s="326"/>
      <c r="X291" s="326"/>
    </row>
    <row r="292" spans="2:24">
      <c r="B292" s="295"/>
      <c r="C292" s="295"/>
      <c r="D292" s="330"/>
      <c r="E292" s="330"/>
      <c r="F292" s="330"/>
      <c r="G292" s="330"/>
      <c r="H292" s="330"/>
      <c r="I292" s="330"/>
      <c r="J292" s="330"/>
      <c r="K292" s="330"/>
      <c r="L292" s="330"/>
      <c r="M292" s="302"/>
      <c r="N292" s="302"/>
      <c r="O292" s="326"/>
      <c r="P292" s="326"/>
      <c r="Q292" s="326"/>
      <c r="R292" s="326"/>
      <c r="S292" s="326"/>
      <c r="T292" s="326"/>
      <c r="U292" s="326"/>
      <c r="V292" s="326"/>
      <c r="W292" s="326"/>
      <c r="X292" s="326"/>
    </row>
    <row r="293" spans="2:24">
      <c r="B293" s="295"/>
      <c r="C293" s="295"/>
      <c r="D293" s="330"/>
      <c r="E293" s="330"/>
      <c r="F293" s="330"/>
      <c r="G293" s="330"/>
      <c r="H293" s="330"/>
      <c r="I293" s="330"/>
      <c r="J293" s="330"/>
      <c r="K293" s="330"/>
      <c r="L293" s="330"/>
      <c r="M293" s="302"/>
      <c r="N293" s="302"/>
      <c r="O293" s="326"/>
      <c r="P293" s="326"/>
      <c r="Q293" s="326"/>
      <c r="R293" s="326"/>
      <c r="S293" s="326"/>
      <c r="T293" s="326"/>
      <c r="U293" s="326"/>
      <c r="V293" s="326"/>
      <c r="W293" s="326"/>
      <c r="X293" s="326"/>
    </row>
    <row r="294" spans="2:24">
      <c r="B294" s="295"/>
      <c r="C294" s="295"/>
      <c r="D294" s="330"/>
      <c r="E294" s="330"/>
      <c r="F294" s="330"/>
      <c r="G294" s="330"/>
      <c r="H294" s="330"/>
      <c r="I294" s="330"/>
      <c r="J294" s="330"/>
      <c r="K294" s="330"/>
      <c r="L294" s="330"/>
      <c r="M294" s="302"/>
      <c r="N294" s="302"/>
      <c r="O294" s="326"/>
      <c r="P294" s="326"/>
      <c r="Q294" s="326"/>
      <c r="R294" s="326"/>
      <c r="S294" s="326"/>
      <c r="T294" s="326"/>
      <c r="U294" s="326"/>
      <c r="V294" s="326"/>
      <c r="W294" s="326"/>
      <c r="X294" s="326"/>
    </row>
    <row r="295" spans="2:24">
      <c r="B295" s="295"/>
      <c r="C295" s="295"/>
      <c r="D295" s="330"/>
      <c r="E295" s="330"/>
      <c r="F295" s="330"/>
      <c r="G295" s="330"/>
      <c r="H295" s="330"/>
      <c r="I295" s="330"/>
      <c r="J295" s="330"/>
      <c r="K295" s="330"/>
      <c r="L295" s="330"/>
      <c r="M295" s="302"/>
      <c r="N295" s="302"/>
      <c r="O295" s="326"/>
      <c r="P295" s="326"/>
      <c r="Q295" s="326"/>
      <c r="R295" s="326"/>
      <c r="S295" s="326"/>
      <c r="T295" s="326"/>
      <c r="U295" s="326"/>
      <c r="V295" s="326"/>
      <c r="W295" s="326"/>
      <c r="X295" s="326"/>
    </row>
    <row r="296" spans="2:24">
      <c r="B296" s="295"/>
      <c r="C296" s="295"/>
      <c r="D296" s="330"/>
      <c r="E296" s="330"/>
      <c r="F296" s="330"/>
      <c r="G296" s="330"/>
      <c r="H296" s="330"/>
      <c r="I296" s="330"/>
      <c r="J296" s="330"/>
      <c r="K296" s="330"/>
      <c r="L296" s="330"/>
      <c r="M296" s="302"/>
      <c r="N296" s="302"/>
      <c r="O296" s="326"/>
      <c r="P296" s="326"/>
      <c r="Q296" s="326"/>
      <c r="R296" s="326"/>
      <c r="S296" s="326"/>
      <c r="T296" s="326"/>
      <c r="U296" s="326"/>
      <c r="V296" s="326"/>
      <c r="W296" s="326"/>
      <c r="X296" s="326"/>
    </row>
    <row r="297" spans="2:24">
      <c r="B297" s="302"/>
      <c r="C297" s="302"/>
      <c r="D297" s="330"/>
      <c r="E297" s="330"/>
      <c r="F297" s="330"/>
      <c r="G297" s="330"/>
      <c r="H297" s="330"/>
      <c r="I297" s="330"/>
      <c r="J297" s="330"/>
      <c r="K297" s="330"/>
      <c r="L297" s="330"/>
      <c r="M297" s="302"/>
      <c r="N297" s="302"/>
      <c r="O297" s="326"/>
      <c r="P297" s="326"/>
      <c r="Q297" s="326"/>
      <c r="R297" s="326"/>
      <c r="S297" s="326"/>
      <c r="T297" s="326"/>
      <c r="U297" s="326"/>
      <c r="V297" s="326"/>
      <c r="W297" s="326"/>
      <c r="X297" s="326"/>
    </row>
    <row r="298" spans="2:24">
      <c r="B298" s="302"/>
      <c r="C298" s="302"/>
      <c r="D298" s="330"/>
      <c r="E298" s="330"/>
      <c r="F298" s="330"/>
      <c r="G298" s="330"/>
      <c r="H298" s="330"/>
      <c r="I298" s="330"/>
      <c r="J298" s="330"/>
      <c r="K298" s="330"/>
      <c r="L298" s="330"/>
      <c r="M298" s="302"/>
      <c r="N298" s="302"/>
      <c r="O298" s="326"/>
      <c r="P298" s="326"/>
      <c r="Q298" s="326"/>
      <c r="R298" s="326"/>
      <c r="S298" s="326"/>
      <c r="T298" s="326"/>
      <c r="U298" s="326"/>
      <c r="V298" s="326"/>
      <c r="W298" s="326"/>
      <c r="X298" s="326"/>
    </row>
    <row r="299" spans="2:24">
      <c r="B299" s="302"/>
      <c r="C299" s="302"/>
      <c r="D299" s="330"/>
      <c r="E299" s="330"/>
      <c r="F299" s="330"/>
      <c r="G299" s="330"/>
      <c r="H299" s="330"/>
      <c r="I299" s="330"/>
      <c r="J299" s="330"/>
      <c r="K299" s="330"/>
      <c r="L299" s="330"/>
      <c r="M299" s="302"/>
      <c r="N299" s="302"/>
      <c r="O299" s="326"/>
      <c r="P299" s="326"/>
      <c r="Q299" s="326"/>
      <c r="R299" s="326"/>
      <c r="S299" s="326"/>
      <c r="T299" s="326"/>
      <c r="U299" s="326"/>
      <c r="V299" s="326"/>
      <c r="W299" s="326"/>
      <c r="X299" s="326"/>
    </row>
    <row r="300" spans="2:24">
      <c r="B300" s="302"/>
      <c r="C300" s="302"/>
      <c r="D300" s="330"/>
      <c r="E300" s="330"/>
      <c r="F300" s="330"/>
      <c r="G300" s="330"/>
      <c r="H300" s="330"/>
      <c r="I300" s="330"/>
      <c r="J300" s="330"/>
      <c r="K300" s="330"/>
      <c r="L300" s="330"/>
      <c r="M300" s="302"/>
      <c r="N300" s="302"/>
      <c r="O300" s="326"/>
      <c r="P300" s="326"/>
      <c r="Q300" s="326"/>
      <c r="R300" s="326"/>
      <c r="S300" s="326"/>
      <c r="T300" s="326"/>
      <c r="U300" s="326"/>
      <c r="V300" s="326"/>
      <c r="W300" s="326"/>
      <c r="X300" s="326"/>
    </row>
    <row r="301" spans="2:24">
      <c r="B301" s="302"/>
      <c r="C301" s="302"/>
      <c r="D301" s="330"/>
      <c r="E301" s="330"/>
      <c r="F301" s="330"/>
      <c r="G301" s="330"/>
      <c r="H301" s="330"/>
      <c r="I301" s="330"/>
      <c r="J301" s="330"/>
      <c r="K301" s="330"/>
      <c r="L301" s="330"/>
      <c r="M301" s="302"/>
      <c r="N301" s="302"/>
      <c r="O301" s="326"/>
      <c r="P301" s="326"/>
      <c r="Q301" s="326"/>
      <c r="R301" s="326"/>
      <c r="S301" s="326"/>
      <c r="T301" s="326"/>
      <c r="U301" s="326"/>
      <c r="V301" s="326"/>
      <c r="W301" s="326"/>
      <c r="X301" s="326"/>
    </row>
    <row r="302" spans="2:24">
      <c r="B302" s="302"/>
      <c r="C302" s="302"/>
      <c r="D302" s="330"/>
      <c r="E302" s="330"/>
      <c r="F302" s="330"/>
      <c r="G302" s="330"/>
      <c r="H302" s="330"/>
      <c r="I302" s="330"/>
      <c r="J302" s="330"/>
      <c r="K302" s="330"/>
      <c r="L302" s="330"/>
      <c r="M302" s="302"/>
      <c r="N302" s="302"/>
      <c r="O302" s="302"/>
      <c r="P302" s="302"/>
      <c r="Q302" s="302"/>
      <c r="R302" s="302"/>
      <c r="S302" s="302"/>
      <c r="T302" s="302"/>
      <c r="U302" s="302"/>
      <c r="V302" s="302"/>
      <c r="W302" s="302"/>
      <c r="X302" s="302"/>
    </row>
    <row r="303" spans="2:24">
      <c r="B303" s="302"/>
      <c r="C303" s="302"/>
      <c r="D303" s="330"/>
      <c r="E303" s="330"/>
      <c r="F303" s="330"/>
      <c r="G303" s="330"/>
      <c r="H303" s="330"/>
      <c r="I303" s="330"/>
      <c r="J303" s="330"/>
      <c r="K303" s="330"/>
      <c r="L303" s="330"/>
      <c r="M303" s="302"/>
      <c r="N303" s="311" t="s">
        <v>666</v>
      </c>
      <c r="O303" s="302"/>
      <c r="P303" s="302"/>
      <c r="Q303" s="302"/>
      <c r="R303" s="302"/>
      <c r="S303" s="302"/>
      <c r="T303" s="302"/>
      <c r="U303" s="302"/>
      <c r="V303" s="302"/>
      <c r="W303" s="302"/>
      <c r="X303" s="302"/>
    </row>
    <row r="304" spans="2:24">
      <c r="B304" s="302"/>
      <c r="C304" s="302"/>
      <c r="D304" s="330"/>
      <c r="E304" s="330"/>
      <c r="F304" s="330"/>
      <c r="G304" s="330"/>
      <c r="H304" s="330"/>
      <c r="I304" s="330"/>
      <c r="J304" s="330"/>
      <c r="K304" s="330"/>
      <c r="L304" s="330"/>
      <c r="M304" s="302"/>
      <c r="N304" s="302" t="s">
        <v>898</v>
      </c>
      <c r="O304" s="302"/>
      <c r="P304" s="302"/>
      <c r="Q304" s="302"/>
      <c r="R304" s="302"/>
      <c r="S304" s="302"/>
      <c r="T304" s="302"/>
      <c r="U304" s="302"/>
      <c r="V304" s="302"/>
      <c r="W304" s="302"/>
      <c r="X304" s="302"/>
    </row>
    <row r="305" spans="2:24">
      <c r="B305" s="302"/>
      <c r="C305" s="302"/>
      <c r="D305" s="330"/>
      <c r="E305" s="330"/>
      <c r="F305" s="330"/>
      <c r="G305" s="330"/>
      <c r="H305" s="330"/>
      <c r="I305" s="330"/>
      <c r="J305" s="330"/>
      <c r="K305" s="330"/>
      <c r="L305" s="330"/>
      <c r="M305" s="302"/>
      <c r="N305" s="331" t="s">
        <v>899</v>
      </c>
      <c r="O305" s="302"/>
      <c r="P305" s="302"/>
      <c r="Q305" s="302"/>
      <c r="R305" s="302"/>
      <c r="S305" s="302"/>
      <c r="T305" s="302"/>
      <c r="U305" s="302"/>
      <c r="V305" s="302"/>
      <c r="W305" s="302"/>
      <c r="X305" s="302"/>
    </row>
    <row r="306" spans="2:24">
      <c r="B306" s="302"/>
      <c r="C306" s="302"/>
      <c r="D306" s="330"/>
      <c r="E306" s="330"/>
      <c r="F306" s="330"/>
      <c r="G306" s="330"/>
      <c r="H306" s="330"/>
      <c r="I306" s="329"/>
      <c r="J306" s="329" t="s">
        <v>786</v>
      </c>
      <c r="K306" s="330"/>
      <c r="L306" s="330"/>
      <c r="M306" s="302"/>
      <c r="N306" s="331" t="s">
        <v>900</v>
      </c>
      <c r="O306" s="302"/>
      <c r="P306" s="302"/>
      <c r="Q306" s="302"/>
      <c r="R306" s="302"/>
      <c r="S306" s="302"/>
      <c r="T306" s="302"/>
      <c r="U306" s="302"/>
      <c r="V306" s="302"/>
      <c r="W306" s="302"/>
      <c r="X306" s="302"/>
    </row>
    <row r="307" spans="2:24">
      <c r="B307" s="302"/>
      <c r="C307" s="302"/>
      <c r="D307" s="330"/>
      <c r="E307" s="330"/>
      <c r="F307" s="330"/>
      <c r="G307" s="330"/>
      <c r="H307" s="330"/>
      <c r="I307" s="330"/>
      <c r="J307" s="330"/>
      <c r="K307" s="330"/>
      <c r="L307" s="330"/>
      <c r="M307" s="302"/>
      <c r="N307" s="302"/>
      <c r="O307" s="302"/>
      <c r="P307" s="302"/>
      <c r="Q307" s="302"/>
      <c r="R307" s="302"/>
      <c r="S307" s="302"/>
      <c r="T307" s="302"/>
      <c r="U307" s="302"/>
      <c r="V307" s="302"/>
      <c r="W307" s="302"/>
      <c r="X307" s="302"/>
    </row>
    <row r="308" spans="2:24">
      <c r="B308" s="302"/>
      <c r="C308" s="302"/>
      <c r="D308" s="330"/>
      <c r="E308" s="330"/>
      <c r="F308" s="330"/>
      <c r="G308" s="330"/>
      <c r="H308" s="330"/>
      <c r="I308" s="330"/>
      <c r="J308" s="330"/>
      <c r="K308" s="330"/>
      <c r="L308" s="330"/>
      <c r="M308" s="302"/>
      <c r="N308" s="302" t="s">
        <v>901</v>
      </c>
      <c r="O308" s="302"/>
      <c r="P308" s="302"/>
      <c r="Q308" s="302"/>
      <c r="R308" s="302"/>
      <c r="S308" s="302"/>
      <c r="T308" s="302"/>
      <c r="U308" s="302"/>
      <c r="V308" s="302"/>
      <c r="W308" s="302"/>
      <c r="X308" s="302"/>
    </row>
    <row r="309" spans="2:24">
      <c r="B309" s="302"/>
      <c r="C309" s="302"/>
      <c r="D309" s="330"/>
      <c r="E309" s="330"/>
      <c r="F309" s="330"/>
      <c r="G309" s="330"/>
      <c r="H309" s="330"/>
      <c r="I309" s="330"/>
      <c r="J309" s="330"/>
      <c r="K309" s="330"/>
      <c r="L309" s="330"/>
      <c r="M309" s="302"/>
      <c r="N309" s="302" t="s">
        <v>902</v>
      </c>
      <c r="O309" s="302"/>
      <c r="P309" s="302"/>
      <c r="Q309" s="302"/>
      <c r="R309" s="302"/>
      <c r="S309" s="302"/>
      <c r="T309" s="302"/>
      <c r="U309" s="302"/>
      <c r="V309" s="302"/>
      <c r="W309" s="302"/>
      <c r="X309" s="302"/>
    </row>
    <row r="310" spans="2:24">
      <c r="B310" s="302"/>
      <c r="C310" s="302"/>
      <c r="D310" s="330"/>
      <c r="E310" s="330"/>
      <c r="F310" s="330"/>
      <c r="G310" s="330"/>
      <c r="H310" s="330"/>
      <c r="I310" s="330"/>
      <c r="J310" s="330"/>
      <c r="K310" s="330"/>
      <c r="L310" s="330"/>
      <c r="M310" s="302"/>
      <c r="N310" s="302" t="s">
        <v>903</v>
      </c>
      <c r="O310" s="302"/>
      <c r="P310" s="302"/>
      <c r="Q310" s="302"/>
      <c r="R310" s="302"/>
      <c r="S310" s="302"/>
      <c r="T310" s="302"/>
      <c r="U310" s="302"/>
      <c r="V310" s="302"/>
      <c r="W310" s="302"/>
      <c r="X310" s="302"/>
    </row>
    <row r="311" spans="2:24">
      <c r="B311" s="302"/>
      <c r="C311" s="302"/>
      <c r="D311" s="330"/>
      <c r="E311" s="330"/>
      <c r="F311" s="330"/>
      <c r="G311" s="330"/>
      <c r="H311" s="330"/>
      <c r="I311" s="330"/>
      <c r="J311" s="330"/>
      <c r="K311" s="330"/>
      <c r="L311" s="330"/>
      <c r="M311" s="302"/>
      <c r="N311" s="302"/>
      <c r="O311" s="302" t="s">
        <v>904</v>
      </c>
      <c r="P311" s="302"/>
      <c r="Q311" s="302"/>
      <c r="R311" s="302"/>
      <c r="S311" s="302"/>
      <c r="T311" s="302"/>
      <c r="U311" s="302"/>
      <c r="V311" s="302"/>
      <c r="W311" s="302"/>
      <c r="X311" s="302"/>
    </row>
    <row r="312" spans="2:24">
      <c r="B312" s="302"/>
      <c r="C312" s="302"/>
      <c r="D312" s="330"/>
      <c r="E312" s="330"/>
      <c r="F312" s="330"/>
      <c r="G312" s="330"/>
      <c r="H312" s="330"/>
      <c r="I312" s="330"/>
      <c r="J312" s="330"/>
      <c r="K312" s="330"/>
      <c r="L312" s="330"/>
      <c r="M312" s="302"/>
      <c r="N312" s="302"/>
      <c r="O312" s="302" t="s">
        <v>905</v>
      </c>
      <c r="P312" s="302"/>
      <c r="Q312" s="302"/>
      <c r="R312" s="302"/>
      <c r="S312" s="302"/>
      <c r="T312" s="302"/>
      <c r="U312" s="302"/>
      <c r="V312" s="302"/>
      <c r="W312" s="302"/>
      <c r="X312" s="302"/>
    </row>
    <row r="313" spans="2:24">
      <c r="B313" s="302"/>
      <c r="C313" s="302"/>
      <c r="D313" s="330"/>
      <c r="E313" s="330"/>
      <c r="F313" s="330"/>
      <c r="G313" s="330"/>
      <c r="H313" s="330"/>
      <c r="I313" s="330"/>
      <c r="J313" s="330"/>
      <c r="K313" s="330"/>
      <c r="L313" s="330"/>
      <c r="M313" s="302"/>
      <c r="N313" s="302"/>
      <c r="O313" s="302" t="s">
        <v>616</v>
      </c>
      <c r="P313" s="302"/>
      <c r="Q313" s="302"/>
      <c r="R313" s="302"/>
      <c r="S313" s="302"/>
      <c r="T313" s="302"/>
      <c r="U313" s="302"/>
      <c r="V313" s="302"/>
      <c r="W313" s="302"/>
      <c r="X313" s="302"/>
    </row>
    <row r="314" spans="2:24">
      <c r="B314" s="302"/>
      <c r="C314" s="302"/>
      <c r="D314" s="330"/>
      <c r="E314" s="330"/>
      <c r="F314" s="330"/>
      <c r="G314" s="330"/>
      <c r="H314" s="330"/>
      <c r="I314" s="330"/>
      <c r="J314" s="330"/>
      <c r="K314" s="330"/>
      <c r="L314" s="330"/>
      <c r="M314" s="302"/>
      <c r="N314" s="302"/>
      <c r="O314" s="302"/>
      <c r="P314" s="302"/>
      <c r="Q314" s="302"/>
      <c r="R314" s="302"/>
      <c r="S314" s="302"/>
      <c r="T314" s="302"/>
      <c r="U314" s="302"/>
      <c r="V314" s="302"/>
      <c r="W314" s="302"/>
      <c r="X314" s="302"/>
    </row>
    <row r="315" spans="2:24">
      <c r="B315" s="302"/>
      <c r="C315" s="302"/>
      <c r="D315" s="330"/>
      <c r="E315" s="330"/>
      <c r="F315" s="330"/>
      <c r="G315" s="330"/>
      <c r="H315" s="330"/>
      <c r="I315" s="330"/>
      <c r="J315" s="330"/>
      <c r="K315" s="330"/>
      <c r="L315" s="330"/>
      <c r="M315" s="302"/>
      <c r="N315" s="311" t="s">
        <v>786</v>
      </c>
      <c r="O315" s="302"/>
      <c r="P315" s="302"/>
      <c r="Q315" s="302"/>
      <c r="R315" s="302"/>
      <c r="S315" s="302"/>
      <c r="T315" s="302"/>
      <c r="U315" s="302"/>
      <c r="V315" s="302"/>
      <c r="W315" s="302"/>
      <c r="X315" s="302"/>
    </row>
    <row r="316" spans="2:24">
      <c r="B316" s="302"/>
      <c r="C316" s="302"/>
      <c r="D316" s="330"/>
      <c r="E316" s="330"/>
      <c r="F316" s="330"/>
      <c r="G316" s="330"/>
      <c r="H316" s="330"/>
      <c r="I316" s="330"/>
      <c r="J316" s="330"/>
      <c r="K316" s="330"/>
      <c r="L316" s="330"/>
      <c r="M316" s="302"/>
      <c r="N316" s="302" t="s">
        <v>906</v>
      </c>
      <c r="O316" s="302"/>
      <c r="P316" s="302"/>
      <c r="Q316" s="302"/>
      <c r="R316" s="302"/>
      <c r="S316" s="302"/>
      <c r="T316" s="302"/>
      <c r="U316" s="302"/>
      <c r="V316" s="302"/>
      <c r="W316" s="302"/>
      <c r="X316" s="302"/>
    </row>
    <row r="317" spans="2:24">
      <c r="B317" s="302"/>
      <c r="C317" s="302"/>
      <c r="D317" s="330"/>
      <c r="E317" s="330"/>
      <c r="F317" s="330"/>
      <c r="G317" s="330"/>
      <c r="H317" s="330"/>
      <c r="I317" s="330"/>
      <c r="J317" s="330"/>
      <c r="K317" s="330"/>
      <c r="L317" s="330"/>
      <c r="M317" s="302"/>
      <c r="N317" s="302" t="s">
        <v>907</v>
      </c>
      <c r="O317" s="302"/>
      <c r="P317" s="302"/>
      <c r="Q317" s="302"/>
      <c r="R317" s="302"/>
      <c r="S317" s="302"/>
      <c r="T317" s="302"/>
      <c r="U317" s="302"/>
      <c r="V317" s="302"/>
      <c r="W317" s="302"/>
      <c r="X317" s="302"/>
    </row>
    <row r="318" spans="2:24">
      <c r="B318" s="302"/>
      <c r="C318" s="302"/>
      <c r="D318" s="330"/>
      <c r="E318" s="330"/>
      <c r="F318" s="330"/>
      <c r="G318" s="330"/>
      <c r="H318" s="330"/>
      <c r="I318" s="330"/>
      <c r="J318" s="330"/>
      <c r="K318" s="330"/>
      <c r="L318" s="330"/>
      <c r="M318" s="302"/>
      <c r="N318" s="302" t="s">
        <v>908</v>
      </c>
      <c r="O318" s="302"/>
      <c r="P318" s="302"/>
      <c r="Q318" s="302"/>
      <c r="R318" s="302"/>
      <c r="S318" s="302"/>
      <c r="T318" s="302"/>
      <c r="U318" s="302"/>
      <c r="V318" s="302"/>
      <c r="W318" s="302"/>
      <c r="X318" s="302"/>
    </row>
    <row r="319" spans="2:24">
      <c r="B319" s="302"/>
      <c r="C319" s="302"/>
      <c r="D319" s="330"/>
      <c r="E319" s="330"/>
      <c r="F319" s="330"/>
      <c r="G319" s="330"/>
      <c r="H319" s="330"/>
      <c r="I319" s="329" t="s">
        <v>909</v>
      </c>
      <c r="J319" s="330"/>
      <c r="K319" s="330"/>
      <c r="L319" s="330"/>
      <c r="M319" s="302"/>
      <c r="N319" s="302" t="s">
        <v>910</v>
      </c>
      <c r="O319" s="302"/>
      <c r="P319" s="302"/>
      <c r="Q319" s="302"/>
      <c r="R319" s="302"/>
      <c r="S319" s="302"/>
      <c r="T319" s="302"/>
      <c r="U319" s="302"/>
      <c r="V319" s="302"/>
      <c r="W319" s="302"/>
      <c r="X319" s="302"/>
    </row>
    <row r="320" spans="2:24">
      <c r="B320" s="302"/>
      <c r="C320" s="302"/>
      <c r="D320" s="330"/>
      <c r="E320" s="330"/>
      <c r="F320" s="330"/>
      <c r="G320" s="330"/>
      <c r="H320" s="330"/>
      <c r="I320" s="330" t="s">
        <v>911</v>
      </c>
      <c r="J320" s="330"/>
      <c r="K320" s="330"/>
      <c r="L320" s="330"/>
      <c r="M320" s="302"/>
      <c r="N320" s="302" t="s">
        <v>912</v>
      </c>
      <c r="O320" s="302"/>
      <c r="P320" s="302"/>
      <c r="Q320" s="302"/>
      <c r="R320" s="302"/>
      <c r="S320" s="302"/>
      <c r="T320" s="302"/>
      <c r="U320" s="302"/>
      <c r="V320" s="302"/>
      <c r="W320" s="302"/>
      <c r="X320" s="302"/>
    </row>
    <row r="321" spans="2:24">
      <c r="B321" s="302"/>
      <c r="C321" s="302"/>
      <c r="D321" s="330"/>
      <c r="E321" s="330"/>
      <c r="F321" s="330"/>
      <c r="G321" s="330"/>
      <c r="H321" s="330"/>
      <c r="I321" s="330" t="s">
        <v>913</v>
      </c>
      <c r="J321" s="330"/>
      <c r="K321" s="330"/>
      <c r="L321" s="330"/>
      <c r="M321" s="302"/>
      <c r="N321" s="302"/>
      <c r="O321" s="302"/>
      <c r="P321" s="302"/>
      <c r="Q321" s="302"/>
      <c r="R321" s="302"/>
      <c r="S321" s="302"/>
      <c r="T321" s="302"/>
      <c r="U321" s="302"/>
      <c r="V321" s="302"/>
      <c r="W321" s="302"/>
      <c r="X321" s="302"/>
    </row>
    <row r="322" spans="2:24">
      <c r="B322" s="302"/>
      <c r="C322" s="302"/>
      <c r="D322" s="330"/>
      <c r="E322" s="330"/>
      <c r="F322" s="330"/>
      <c r="G322" s="330"/>
      <c r="H322" s="330"/>
      <c r="I322" s="330" t="s">
        <v>914</v>
      </c>
      <c r="J322" s="330"/>
      <c r="K322" s="330"/>
      <c r="L322" s="330"/>
      <c r="M322" s="302"/>
      <c r="N322" s="302"/>
      <c r="O322" s="302"/>
      <c r="P322" s="302"/>
      <c r="Q322" s="302"/>
      <c r="R322" s="302"/>
      <c r="S322" s="302"/>
      <c r="T322" s="302"/>
      <c r="U322" s="302"/>
      <c r="V322" s="302"/>
      <c r="W322" s="302"/>
      <c r="X322" s="302"/>
    </row>
    <row r="323" spans="2:24">
      <c r="B323" s="302"/>
      <c r="C323" s="302"/>
      <c r="D323" s="330"/>
      <c r="E323" s="330"/>
      <c r="F323" s="330"/>
      <c r="G323" s="330"/>
      <c r="H323" s="330"/>
      <c r="I323" s="330"/>
      <c r="J323" s="330" t="s">
        <v>915</v>
      </c>
      <c r="K323" s="330"/>
      <c r="L323" s="330"/>
      <c r="M323" s="302"/>
      <c r="N323" s="302"/>
      <c r="O323" s="302"/>
      <c r="P323" s="302"/>
      <c r="Q323" s="302"/>
      <c r="R323" s="302"/>
      <c r="S323" s="302"/>
      <c r="T323" s="302"/>
      <c r="U323" s="302"/>
      <c r="V323" s="302"/>
      <c r="W323" s="302"/>
      <c r="X323" s="302"/>
    </row>
    <row r="324" spans="2:24">
      <c r="B324" s="302"/>
      <c r="C324" s="302"/>
      <c r="D324" s="330"/>
      <c r="E324" s="330"/>
      <c r="F324" s="330"/>
      <c r="G324" s="330"/>
      <c r="H324" s="330"/>
      <c r="I324" s="330"/>
      <c r="J324" s="330" t="s">
        <v>916</v>
      </c>
      <c r="K324" s="330"/>
      <c r="L324" s="330"/>
      <c r="M324" s="302"/>
      <c r="N324" s="302"/>
      <c r="O324" s="302"/>
      <c r="P324" s="302"/>
      <c r="Q324" s="302"/>
      <c r="R324" s="302"/>
      <c r="S324" s="302"/>
      <c r="T324" s="302"/>
      <c r="U324" s="302"/>
      <c r="V324" s="302"/>
      <c r="W324" s="302"/>
      <c r="X324" s="302"/>
    </row>
    <row r="325" spans="2:24">
      <c r="B325" s="302"/>
      <c r="C325" s="302"/>
      <c r="D325" s="330"/>
      <c r="E325" s="330"/>
      <c r="F325" s="330"/>
      <c r="G325" s="330"/>
      <c r="H325" s="330"/>
      <c r="I325" s="330"/>
      <c r="J325" s="330"/>
      <c r="K325" s="330"/>
      <c r="L325" s="330"/>
      <c r="M325" s="302"/>
      <c r="N325" s="302"/>
      <c r="O325" s="302"/>
      <c r="P325" s="302"/>
      <c r="Q325" s="302"/>
      <c r="R325" s="302"/>
      <c r="S325" s="302"/>
      <c r="T325" s="302"/>
      <c r="U325" s="302"/>
      <c r="V325" s="302"/>
      <c r="W325" s="302"/>
      <c r="X325" s="302"/>
    </row>
    <row r="326" spans="2:24">
      <c r="B326" s="302"/>
      <c r="C326" s="302"/>
      <c r="D326" s="330"/>
      <c r="E326" s="330"/>
      <c r="F326" s="330"/>
      <c r="G326" s="330"/>
      <c r="H326" s="330"/>
      <c r="I326" s="330"/>
      <c r="J326" s="330"/>
      <c r="K326" s="330"/>
      <c r="L326" s="330"/>
      <c r="M326" s="302"/>
      <c r="N326" s="302"/>
      <c r="O326" s="302"/>
      <c r="P326" s="302"/>
      <c r="Q326" s="302"/>
      <c r="R326" s="302"/>
      <c r="S326" s="302"/>
      <c r="T326" s="302"/>
      <c r="U326" s="302"/>
      <c r="V326" s="302"/>
      <c r="W326" s="302"/>
      <c r="X326" s="302"/>
    </row>
    <row r="327" spans="2:24">
      <c r="B327" s="332"/>
      <c r="C327" s="332"/>
      <c r="D327" s="332"/>
      <c r="E327" s="332"/>
      <c r="F327" s="332"/>
      <c r="G327" s="332"/>
      <c r="H327" s="332"/>
      <c r="I327" s="332"/>
      <c r="J327" s="332"/>
      <c r="K327" s="332"/>
      <c r="L327" s="332"/>
      <c r="M327" s="302"/>
      <c r="N327" s="302"/>
      <c r="O327" s="302"/>
      <c r="P327" s="302"/>
      <c r="Q327" s="302"/>
      <c r="R327" s="302"/>
      <c r="S327" s="302"/>
      <c r="T327" s="302"/>
      <c r="U327" s="302"/>
      <c r="V327" s="302"/>
      <c r="W327" s="302"/>
      <c r="X327" s="302"/>
    </row>
    <row r="328" spans="2:24">
      <c r="B328" s="332"/>
      <c r="C328" s="332"/>
      <c r="D328" s="332"/>
      <c r="E328" s="332"/>
      <c r="F328" s="332"/>
      <c r="G328" s="332"/>
      <c r="H328" s="332"/>
      <c r="I328" s="332"/>
      <c r="J328" s="332"/>
      <c r="K328" s="332"/>
      <c r="L328" s="332"/>
      <c r="M328" s="302"/>
      <c r="N328" s="302"/>
      <c r="O328" s="302"/>
      <c r="P328" s="302"/>
      <c r="Q328" s="302"/>
      <c r="R328" s="302"/>
      <c r="S328" s="302"/>
      <c r="T328" s="302"/>
      <c r="U328" s="302"/>
      <c r="V328" s="302"/>
      <c r="W328" s="302"/>
      <c r="X328" s="302"/>
    </row>
    <row r="329" spans="2:24">
      <c r="B329" s="332"/>
      <c r="C329" s="332"/>
      <c r="D329" s="332"/>
      <c r="E329" s="332"/>
      <c r="F329" s="332"/>
      <c r="G329" s="332"/>
      <c r="H329" s="332"/>
      <c r="I329" s="332"/>
      <c r="J329" s="332"/>
      <c r="K329" s="332"/>
      <c r="L329" s="332"/>
      <c r="M329" s="302"/>
      <c r="N329" s="302"/>
      <c r="O329" s="302"/>
      <c r="P329" s="302"/>
      <c r="Q329" s="302"/>
      <c r="R329" s="302"/>
      <c r="S329" s="302"/>
      <c r="T329" s="302"/>
      <c r="U329" s="302"/>
      <c r="V329" s="302"/>
      <c r="W329" s="302"/>
      <c r="X329" s="302"/>
    </row>
    <row r="330" spans="2:24">
      <c r="B330" s="332"/>
      <c r="C330" s="332"/>
      <c r="D330" s="332"/>
      <c r="E330" s="332"/>
      <c r="F330" s="332"/>
      <c r="G330" s="332"/>
      <c r="H330" s="332"/>
      <c r="I330" s="332"/>
      <c r="J330" s="332"/>
      <c r="K330" s="332"/>
      <c r="L330" s="332"/>
      <c r="M330" s="302"/>
      <c r="N330" s="302"/>
      <c r="O330" s="302"/>
      <c r="P330" s="302"/>
      <c r="Q330" s="302"/>
      <c r="R330" s="302"/>
      <c r="S330" s="302"/>
      <c r="T330" s="302"/>
      <c r="U330" s="302"/>
      <c r="V330" s="302"/>
      <c r="W330" s="302"/>
      <c r="X330" s="302"/>
    </row>
    <row r="331" spans="2:24">
      <c r="B331" s="332"/>
      <c r="C331" s="332"/>
      <c r="D331" s="332"/>
      <c r="E331" s="332"/>
      <c r="F331" s="332"/>
      <c r="G331" s="332"/>
      <c r="H331" s="332"/>
      <c r="I331" s="332"/>
      <c r="J331" s="332"/>
      <c r="K331" s="332"/>
      <c r="L331" s="332"/>
      <c r="M331" s="302"/>
      <c r="N331" s="302"/>
      <c r="O331" s="302"/>
      <c r="P331" s="302"/>
      <c r="Q331" s="302"/>
      <c r="R331" s="302"/>
      <c r="S331" s="302"/>
      <c r="T331" s="302"/>
      <c r="U331" s="302"/>
      <c r="V331" s="302"/>
      <c r="W331" s="302"/>
      <c r="X331" s="302"/>
    </row>
    <row r="332" spans="2:24">
      <c r="B332" s="332"/>
      <c r="C332" s="332"/>
      <c r="D332" s="332"/>
      <c r="E332" s="332"/>
      <c r="F332" s="332"/>
      <c r="G332" s="332"/>
      <c r="H332" s="332"/>
      <c r="I332" s="332"/>
      <c r="J332" s="332"/>
      <c r="K332" s="332"/>
      <c r="L332" s="332"/>
      <c r="M332" s="302"/>
      <c r="N332" s="302"/>
      <c r="O332" s="302"/>
      <c r="P332" s="302"/>
      <c r="Q332" s="302"/>
      <c r="R332" s="302"/>
      <c r="S332" s="302"/>
      <c r="T332" s="302"/>
      <c r="U332" s="302"/>
      <c r="V332" s="302"/>
      <c r="W332" s="302"/>
      <c r="X332" s="302"/>
    </row>
    <row r="333" spans="2:24">
      <c r="B333" s="332"/>
      <c r="C333" s="332"/>
      <c r="D333" s="332"/>
      <c r="E333" s="332"/>
      <c r="F333" s="332"/>
      <c r="G333" s="332"/>
      <c r="H333" s="332"/>
      <c r="I333" s="332"/>
      <c r="J333" s="332"/>
      <c r="K333" s="332"/>
      <c r="L333" s="332"/>
      <c r="M333" s="302"/>
      <c r="N333" s="302"/>
      <c r="O333" s="302"/>
      <c r="P333" s="302"/>
      <c r="Q333" s="302"/>
      <c r="R333" s="302"/>
      <c r="S333" s="302"/>
      <c r="T333" s="302"/>
      <c r="U333" s="302"/>
      <c r="V333" s="302"/>
      <c r="W333" s="302"/>
      <c r="X333" s="302"/>
    </row>
    <row r="334" spans="2:24">
      <c r="B334" s="332"/>
      <c r="C334" s="332"/>
      <c r="D334" s="332"/>
      <c r="E334" s="332"/>
      <c r="F334" s="332"/>
      <c r="G334" s="332"/>
      <c r="H334" s="332"/>
      <c r="I334" s="332"/>
      <c r="J334" s="332"/>
      <c r="K334" s="332"/>
      <c r="L334" s="332"/>
      <c r="M334" s="302"/>
      <c r="N334" s="302"/>
      <c r="O334" s="302"/>
      <c r="P334" s="302"/>
      <c r="Q334" s="302"/>
      <c r="R334" s="302"/>
      <c r="S334" s="302"/>
      <c r="T334" s="302"/>
      <c r="U334" s="302"/>
      <c r="V334" s="302"/>
      <c r="W334" s="302"/>
      <c r="X334" s="302"/>
    </row>
    <row r="335" spans="2:24">
      <c r="B335" s="332"/>
      <c r="C335" s="332"/>
      <c r="D335" s="332"/>
      <c r="E335" s="332"/>
      <c r="F335" s="332"/>
      <c r="G335" s="332"/>
      <c r="H335" s="332"/>
      <c r="I335" s="332"/>
      <c r="J335" s="332"/>
      <c r="K335" s="332"/>
      <c r="L335" s="332"/>
      <c r="M335" s="302"/>
      <c r="N335" s="302"/>
      <c r="O335" s="302"/>
      <c r="P335" s="302"/>
      <c r="Q335" s="302"/>
      <c r="R335" s="302"/>
      <c r="S335" s="302"/>
      <c r="T335" s="302"/>
      <c r="U335" s="302"/>
      <c r="V335" s="302"/>
      <c r="W335" s="302"/>
      <c r="X335" s="302"/>
    </row>
    <row r="336" spans="2:24">
      <c r="B336" s="332"/>
      <c r="C336" s="332"/>
      <c r="D336" s="332"/>
      <c r="E336" s="332"/>
      <c r="F336" s="332"/>
      <c r="G336" s="332"/>
      <c r="H336" s="332"/>
      <c r="I336" s="332"/>
      <c r="J336" s="332"/>
      <c r="K336" s="332"/>
      <c r="L336" s="332"/>
      <c r="M336" s="302"/>
      <c r="N336" s="302"/>
      <c r="O336" s="302"/>
      <c r="P336" s="302"/>
      <c r="Q336" s="302"/>
      <c r="R336" s="302"/>
      <c r="S336" s="302"/>
      <c r="T336" s="302"/>
      <c r="U336" s="302"/>
      <c r="V336" s="302"/>
      <c r="W336" s="302"/>
      <c r="X336" s="302"/>
    </row>
    <row r="337" spans="2:24">
      <c r="B337" s="332"/>
      <c r="C337" s="332"/>
      <c r="D337" s="332"/>
      <c r="E337" s="332"/>
      <c r="F337" s="332"/>
      <c r="G337" s="332"/>
      <c r="H337" s="332"/>
      <c r="I337" s="332"/>
      <c r="J337" s="332"/>
      <c r="K337" s="332"/>
      <c r="L337" s="332"/>
      <c r="M337" s="302"/>
      <c r="N337" s="302" t="s">
        <v>917</v>
      </c>
      <c r="O337" s="302"/>
      <c r="P337" s="302"/>
      <c r="Q337" s="302"/>
      <c r="R337" s="302"/>
      <c r="S337" s="302"/>
      <c r="T337" s="302"/>
      <c r="U337" s="302"/>
      <c r="V337" s="302"/>
      <c r="W337" s="302"/>
      <c r="X337" s="302"/>
    </row>
    <row r="338" spans="2:24">
      <c r="B338" s="332"/>
      <c r="C338" s="332"/>
      <c r="D338" s="332"/>
      <c r="E338" s="332"/>
      <c r="F338" s="332"/>
      <c r="G338" s="332"/>
      <c r="H338" s="332"/>
      <c r="I338" s="332"/>
      <c r="J338" s="332"/>
      <c r="K338" s="332"/>
      <c r="L338" s="332"/>
      <c r="M338" s="302"/>
      <c r="N338" s="302"/>
      <c r="O338" s="302"/>
      <c r="P338" s="302"/>
      <c r="Q338" s="302"/>
      <c r="R338" s="302"/>
      <c r="S338" s="302"/>
      <c r="T338" s="302"/>
      <c r="U338" s="302"/>
      <c r="V338" s="302"/>
      <c r="W338" s="302"/>
      <c r="X338" s="302"/>
    </row>
    <row r="339" spans="2:24">
      <c r="B339" s="332"/>
      <c r="C339" s="332"/>
      <c r="D339" s="332"/>
      <c r="E339" s="332"/>
      <c r="F339" s="332"/>
      <c r="G339" s="332"/>
      <c r="H339" s="332"/>
      <c r="I339" s="332"/>
      <c r="J339" s="332"/>
      <c r="K339" s="332"/>
      <c r="L339" s="332"/>
    </row>
    <row r="340" spans="2:24">
      <c r="B340" s="332"/>
      <c r="C340" s="332"/>
      <c r="D340" s="332"/>
      <c r="E340" s="332"/>
      <c r="F340" s="332"/>
      <c r="G340" s="332"/>
      <c r="H340" s="332"/>
      <c r="I340" s="332"/>
      <c r="J340" s="332"/>
      <c r="K340" s="332"/>
      <c r="L340" s="332"/>
    </row>
    <row r="341" spans="2:24">
      <c r="B341" s="332"/>
      <c r="C341" s="332"/>
      <c r="D341" s="332"/>
      <c r="E341" s="332"/>
      <c r="F341" s="332"/>
      <c r="G341" s="332"/>
      <c r="H341" s="332"/>
      <c r="I341" s="332"/>
      <c r="J341" s="332"/>
      <c r="K341" s="332"/>
      <c r="L341" s="332"/>
    </row>
    <row r="342" spans="2:24">
      <c r="B342" s="332"/>
      <c r="C342" s="332"/>
      <c r="D342" s="332"/>
      <c r="E342" s="332"/>
      <c r="F342" s="332"/>
      <c r="G342" s="332"/>
      <c r="H342" s="332"/>
      <c r="I342" s="332"/>
      <c r="J342" s="332"/>
      <c r="K342" s="332"/>
      <c r="L342" s="332"/>
    </row>
  </sheetData>
  <pageMargins left="0.7" right="0.7" top="0.75" bottom="0.75" header="0.3" footer="0.3"/>
  <pageSetup paperSize="8" scale="49" fitToHeight="0"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SUpload"/>
  <dimension ref="A1:AA390"/>
  <sheetViews>
    <sheetView topLeftCell="L1" workbookViewId="0">
      <selection activeCell="W2" sqref="W2"/>
    </sheetView>
  </sheetViews>
  <sheetFormatPr defaultRowHeight="11.25"/>
  <cols>
    <col min="1" max="1" width="9.33203125" style="3"/>
    <col min="2" max="2" width="21.6640625" style="2" customWidth="1"/>
    <col min="3" max="3" width="9.33203125" style="3"/>
    <col min="4" max="4" width="9.33203125" style="2"/>
    <col min="5" max="5" width="24.33203125" style="2" customWidth="1"/>
    <col min="6" max="6" width="54.1640625" style="3" customWidth="1"/>
    <col min="7" max="7" width="14.1640625" style="3" customWidth="1"/>
    <col min="8" max="8" width="9.33203125" style="2"/>
    <col min="9" max="9" width="39.5" style="3" customWidth="1"/>
    <col min="10" max="11" width="19.33203125" style="3" customWidth="1"/>
    <col min="12" max="12" width="9.33203125" style="2"/>
    <col min="13" max="13" width="36" style="2" bestFit="1" customWidth="1"/>
    <col min="14" max="14" width="20" style="2" customWidth="1"/>
    <col min="15" max="15" width="50.1640625" style="2" customWidth="1"/>
    <col min="16" max="16" width="15.5" style="2" customWidth="1"/>
    <col min="17" max="17" width="9.33203125" style="44"/>
    <col min="18" max="18" width="42.83203125" style="44" customWidth="1"/>
    <col min="19" max="19" width="18.33203125" style="44" customWidth="1"/>
    <col min="20" max="20" width="9.33203125" style="44"/>
    <col min="21" max="21" width="18.5" style="44" customWidth="1"/>
    <col min="22" max="22" width="18.1640625" style="44" bestFit="1" customWidth="1"/>
    <col min="23" max="23" width="9.33203125" style="44"/>
    <col min="24" max="24" width="9.33203125" style="2"/>
    <col min="25" max="25" width="39.33203125" style="2" bestFit="1" customWidth="1"/>
    <col min="26" max="26" width="23.33203125" style="2" customWidth="1"/>
    <col min="27" max="27" width="39.33203125" style="2" bestFit="1" customWidth="1"/>
    <col min="28" max="16384" width="9.33203125" style="2"/>
  </cols>
  <sheetData>
    <row r="1" spans="1:27">
      <c r="A1" s="854" t="s">
        <v>103</v>
      </c>
      <c r="B1" s="854"/>
      <c r="C1" s="854"/>
      <c r="E1" s="854" t="s">
        <v>104</v>
      </c>
      <c r="F1" s="854"/>
      <c r="G1" s="37"/>
      <c r="I1" s="854" t="s">
        <v>105</v>
      </c>
      <c r="J1" s="854"/>
      <c r="K1" s="37"/>
      <c r="M1" s="854" t="s">
        <v>106</v>
      </c>
      <c r="N1" s="854"/>
      <c r="O1" s="854"/>
      <c r="P1" s="37"/>
      <c r="R1" s="854" t="s">
        <v>484</v>
      </c>
      <c r="S1" s="854"/>
      <c r="Y1" s="854" t="s">
        <v>507</v>
      </c>
      <c r="Z1" s="854"/>
      <c r="AA1" s="854"/>
    </row>
    <row r="2" spans="1:27" ht="14.25">
      <c r="A2" s="39" t="s">
        <v>7</v>
      </c>
      <c r="B2" s="40" t="s">
        <v>5</v>
      </c>
      <c r="C2" s="39" t="s">
        <v>6</v>
      </c>
      <c r="E2" s="40" t="s">
        <v>5</v>
      </c>
      <c r="F2" s="39" t="s">
        <v>6</v>
      </c>
      <c r="G2" s="41"/>
      <c r="I2" s="40" t="s">
        <v>5</v>
      </c>
      <c r="J2" s="42" t="s">
        <v>6</v>
      </c>
      <c r="K2" s="43"/>
      <c r="M2" s="40" t="s">
        <v>5</v>
      </c>
      <c r="N2" s="40" t="s">
        <v>107</v>
      </c>
      <c r="O2" s="39" t="s">
        <v>6</v>
      </c>
      <c r="R2" s="40" t="s">
        <v>5</v>
      </c>
      <c r="S2" s="42" t="s">
        <v>6</v>
      </c>
      <c r="V2" s="68" t="s">
        <v>598</v>
      </c>
      <c r="W2" s="231">
        <v>4.0999999999999996</v>
      </c>
      <c r="Y2" s="40" t="s">
        <v>5</v>
      </c>
      <c r="Z2" s="40" t="s">
        <v>107</v>
      </c>
      <c r="AA2" s="39" t="s">
        <v>6</v>
      </c>
    </row>
    <row r="3" spans="1:27">
      <c r="A3" s="3" t="s">
        <v>108</v>
      </c>
      <c r="C3" s="4">
        <v>5.048</v>
      </c>
      <c r="E3" s="53" t="s">
        <v>458</v>
      </c>
      <c r="F3" s="3" t="s">
        <v>634</v>
      </c>
      <c r="H3" s="2">
        <v>1</v>
      </c>
      <c r="I3" s="55" t="s">
        <v>109</v>
      </c>
      <c r="J3" s="10"/>
      <c r="K3" s="10"/>
      <c r="L3" s="2">
        <v>1</v>
      </c>
      <c r="M3" s="2" t="s">
        <v>464</v>
      </c>
      <c r="N3" s="2" t="s">
        <v>110</v>
      </c>
      <c r="Q3" s="44">
        <v>1</v>
      </c>
      <c r="R3" s="44" t="s">
        <v>313</v>
      </c>
      <c r="S3" s="10">
        <f>STOCK_SCORE</f>
        <v>7.6111111111111116</v>
      </c>
      <c r="U3" s="44" t="s">
        <v>314</v>
      </c>
      <c r="V3" s="44" t="str">
        <f>DL_SEC_CODE &amp; ""</f>
        <v>B0HZL93</v>
      </c>
      <c r="X3" s="2">
        <v>1</v>
      </c>
      <c r="Y3" s="2" t="s">
        <v>487</v>
      </c>
      <c r="Z3" s="2" t="s">
        <v>508</v>
      </c>
    </row>
    <row r="4" spans="1:27" ht="11.25" customHeight="1">
      <c r="A4" s="3" t="s">
        <v>111</v>
      </c>
      <c r="C4" s="4">
        <v>5.7069999999999999</v>
      </c>
      <c r="E4" s="53" t="s">
        <v>459</v>
      </c>
      <c r="F4" s="3" t="s">
        <v>635</v>
      </c>
      <c r="H4" s="2">
        <v>2</v>
      </c>
      <c r="I4" s="44" t="s">
        <v>112</v>
      </c>
      <c r="J4" s="10"/>
      <c r="K4" s="10"/>
      <c r="L4" s="2">
        <v>2</v>
      </c>
      <c r="M4" s="2" t="s">
        <v>465</v>
      </c>
      <c r="N4" s="2" t="s">
        <v>113</v>
      </c>
      <c r="Q4" s="44">
        <v>2</v>
      </c>
      <c r="R4" s="44" t="s">
        <v>315</v>
      </c>
      <c r="S4" s="10">
        <f>DL_BUY_TARGET</f>
        <v>0</v>
      </c>
      <c r="X4" s="2">
        <v>2</v>
      </c>
      <c r="Y4" s="2" t="s">
        <v>488</v>
      </c>
      <c r="Z4" s="2" t="s">
        <v>509</v>
      </c>
    </row>
    <row r="5" spans="1:27" ht="11.25" customHeight="1">
      <c r="A5" s="3" t="s">
        <v>114</v>
      </c>
      <c r="C5" s="4">
        <v>6.1740000000000004</v>
      </c>
      <c r="E5" s="53" t="s">
        <v>460</v>
      </c>
      <c r="F5" s="3" t="s">
        <v>636</v>
      </c>
      <c r="H5" s="2">
        <v>3</v>
      </c>
      <c r="I5" s="44" t="s">
        <v>115</v>
      </c>
      <c r="J5" s="10"/>
      <c r="K5" s="10"/>
      <c r="L5" s="2">
        <v>3</v>
      </c>
      <c r="M5" s="2" t="s">
        <v>466</v>
      </c>
      <c r="N5" s="2" t="s">
        <v>116</v>
      </c>
      <c r="Q5" s="44">
        <v>3</v>
      </c>
      <c r="R5" s="44" t="s">
        <v>316</v>
      </c>
      <c r="S5" s="10" t="e">
        <f ca="1">SELL_TARGET</f>
        <v>#NAME?</v>
      </c>
      <c r="X5" s="2">
        <v>3</v>
      </c>
      <c r="Y5" s="2" t="s">
        <v>489</v>
      </c>
      <c r="Z5" s="2" t="s">
        <v>510</v>
      </c>
    </row>
    <row r="6" spans="1:27" ht="11.25" customHeight="1">
      <c r="A6" s="3" t="s">
        <v>610</v>
      </c>
      <c r="C6" s="4" t="s">
        <v>611</v>
      </c>
      <c r="E6" s="53" t="s">
        <v>461</v>
      </c>
      <c r="F6" s="3" t="s">
        <v>637</v>
      </c>
      <c r="H6" s="2">
        <v>4</v>
      </c>
      <c r="I6" s="44" t="s">
        <v>118</v>
      </c>
      <c r="J6" s="10"/>
      <c r="K6" s="10"/>
      <c r="L6" s="2">
        <v>4</v>
      </c>
      <c r="M6" s="2" t="s">
        <v>467</v>
      </c>
      <c r="N6" s="2" t="s">
        <v>119</v>
      </c>
      <c r="Q6" s="44">
        <v>4</v>
      </c>
      <c r="R6" s="44" t="s">
        <v>317</v>
      </c>
      <c r="S6" s="10"/>
      <c r="X6" s="2">
        <v>4</v>
      </c>
      <c r="Y6" s="2" t="s">
        <v>490</v>
      </c>
      <c r="Z6" s="2" t="s">
        <v>511</v>
      </c>
    </row>
    <row r="7" spans="1:27" ht="11.25" customHeight="1">
      <c r="A7" s="3" t="s">
        <v>612</v>
      </c>
      <c r="C7" s="4">
        <v>43591</v>
      </c>
      <c r="E7" s="53" t="s">
        <v>462</v>
      </c>
      <c r="F7" s="3" t="s">
        <v>638</v>
      </c>
      <c r="H7" s="2">
        <v>5</v>
      </c>
      <c r="I7" s="44" t="s">
        <v>121</v>
      </c>
      <c r="J7" s="10"/>
      <c r="K7" s="10"/>
      <c r="L7" s="2">
        <v>5</v>
      </c>
      <c r="M7" s="2" t="s">
        <v>468</v>
      </c>
      <c r="N7" s="2" t="s">
        <v>122</v>
      </c>
      <c r="Q7" s="44">
        <v>5</v>
      </c>
      <c r="R7" s="44" t="s">
        <v>318</v>
      </c>
      <c r="S7" s="10"/>
      <c r="X7" s="2">
        <v>5</v>
      </c>
      <c r="Y7" s="2" t="s">
        <v>491</v>
      </c>
      <c r="Z7" s="2" t="s">
        <v>512</v>
      </c>
    </row>
    <row r="8" spans="1:27" ht="11.25" customHeight="1">
      <c r="A8" s="3" t="s">
        <v>117</v>
      </c>
      <c r="C8" s="4" t="s">
        <v>611</v>
      </c>
      <c r="E8" s="53" t="s">
        <v>463</v>
      </c>
      <c r="F8" s="3" t="s">
        <v>639</v>
      </c>
      <c r="H8" s="2">
        <v>6</v>
      </c>
      <c r="I8" s="44" t="s">
        <v>124</v>
      </c>
      <c r="J8" s="52"/>
      <c r="K8" s="11"/>
      <c r="L8" s="2">
        <v>6</v>
      </c>
      <c r="M8" s="2" t="s">
        <v>469</v>
      </c>
      <c r="N8" s="2" t="s">
        <v>125</v>
      </c>
      <c r="Q8" s="44">
        <v>6</v>
      </c>
      <c r="R8" s="44" t="s">
        <v>319</v>
      </c>
      <c r="S8" s="52"/>
      <c r="X8" s="2">
        <v>6</v>
      </c>
      <c r="Y8" s="2" t="s">
        <v>492</v>
      </c>
      <c r="Z8" s="2" t="s">
        <v>513</v>
      </c>
    </row>
    <row r="9" spans="1:27" ht="11.25" customHeight="1">
      <c r="A9" s="3" t="s">
        <v>120</v>
      </c>
      <c r="C9" s="4">
        <v>102.15</v>
      </c>
      <c r="E9" s="53" t="s">
        <v>532</v>
      </c>
      <c r="F9" s="3" t="s">
        <v>640</v>
      </c>
      <c r="H9" s="2">
        <v>7</v>
      </c>
      <c r="I9" s="44" t="s">
        <v>127</v>
      </c>
      <c r="J9" s="52"/>
      <c r="K9" s="11"/>
      <c r="L9" s="2">
        <v>7</v>
      </c>
      <c r="M9" s="2" t="s">
        <v>470</v>
      </c>
      <c r="N9" s="2" t="s">
        <v>128</v>
      </c>
      <c r="Q9" s="44">
        <v>7</v>
      </c>
      <c r="R9" s="44" t="s">
        <v>320</v>
      </c>
      <c r="S9" s="52"/>
      <c r="X9" s="2">
        <v>7</v>
      </c>
      <c r="Y9" s="2" t="s">
        <v>493</v>
      </c>
      <c r="Z9" s="2" t="s">
        <v>514</v>
      </c>
    </row>
    <row r="10" spans="1:27" ht="11.25" customHeight="1">
      <c r="A10" s="3" t="s">
        <v>123</v>
      </c>
      <c r="C10" s="4">
        <v>18532.562728500001</v>
      </c>
      <c r="H10" s="2">
        <v>8</v>
      </c>
      <c r="I10" s="44" t="s">
        <v>130</v>
      </c>
      <c r="J10" s="52"/>
      <c r="K10" s="11"/>
      <c r="L10" s="2">
        <v>8</v>
      </c>
      <c r="M10" s="2" t="s">
        <v>471</v>
      </c>
      <c r="N10" s="2" t="s">
        <v>131</v>
      </c>
      <c r="Q10" s="44">
        <v>8</v>
      </c>
      <c r="R10" s="44" t="s">
        <v>321</v>
      </c>
      <c r="S10" s="52"/>
      <c r="X10" s="2">
        <v>8</v>
      </c>
      <c r="Y10" s="2" t="s">
        <v>494</v>
      </c>
      <c r="Z10" s="2" t="s">
        <v>515</v>
      </c>
    </row>
    <row r="11" spans="1:27" ht="11.25" customHeight="1">
      <c r="A11" s="3" t="s">
        <v>613</v>
      </c>
      <c r="C11" s="4">
        <v>1</v>
      </c>
      <c r="H11" s="2">
        <v>9</v>
      </c>
      <c r="I11" s="44" t="s">
        <v>133</v>
      </c>
      <c r="J11" s="52"/>
      <c r="K11" s="11"/>
      <c r="L11" s="2">
        <v>9</v>
      </c>
      <c r="M11" s="2" t="s">
        <v>472</v>
      </c>
      <c r="N11" s="2" t="s">
        <v>134</v>
      </c>
      <c r="Q11" s="44">
        <v>9</v>
      </c>
      <c r="R11" s="44" t="s">
        <v>322</v>
      </c>
      <c r="S11" s="52"/>
      <c r="X11" s="2">
        <v>9</v>
      </c>
      <c r="Y11" s="2" t="s">
        <v>495</v>
      </c>
      <c r="Z11" s="2" t="s">
        <v>516</v>
      </c>
      <c r="AA11" s="2" t="str">
        <f>tbo_textitem_9 &amp; ""</f>
        <v>Few competeyitiors withn most markets. Few competitiotors within most markets. High investment and R&amp;D cosst.Effieicnecey of the franchise - decent market share, ROE/ROIC, EBIDTA margin = 15% rather than &gt;20. Foreceasts show some volatility.</v>
      </c>
    </row>
    <row r="12" spans="1:27" ht="11.25" customHeight="1">
      <c r="A12" s="3" t="s">
        <v>126</v>
      </c>
      <c r="C12" s="4">
        <v>12.75095</v>
      </c>
      <c r="H12" s="2">
        <v>10</v>
      </c>
      <c r="I12" s="44" t="s">
        <v>136</v>
      </c>
      <c r="J12" s="52"/>
      <c r="K12" s="11"/>
      <c r="L12" s="2">
        <v>10</v>
      </c>
      <c r="M12" s="2" t="s">
        <v>473</v>
      </c>
      <c r="N12" s="2" t="s">
        <v>137</v>
      </c>
      <c r="Q12" s="44">
        <v>10</v>
      </c>
      <c r="R12" s="44" t="s">
        <v>323</v>
      </c>
      <c r="S12" s="52"/>
      <c r="X12" s="2">
        <v>10</v>
      </c>
      <c r="Y12" s="2" t="s">
        <v>496</v>
      </c>
      <c r="Z12" s="2" t="s">
        <v>517</v>
      </c>
      <c r="AA12" s="2" t="str">
        <f>tbo_textitem_10 &amp; ""</f>
        <v>Management is very good. Shown very good initative to invet in R&amp;D thus creating a strong pipleine of good products with a lot of potential. Commitment - 1 my billion buyback program whcihc shows a lot of confidence from thr mnagement team. Good coorproate covernance.</v>
      </c>
    </row>
    <row r="13" spans="1:27" ht="11.25" customHeight="1">
      <c r="A13" s="3" t="s">
        <v>129</v>
      </c>
      <c r="C13" s="4">
        <v>9.6897838196964301</v>
      </c>
      <c r="H13" s="2">
        <v>11</v>
      </c>
      <c r="I13" s="44" t="s">
        <v>139</v>
      </c>
      <c r="J13" s="52"/>
      <c r="K13" s="11"/>
      <c r="L13" s="2">
        <v>11</v>
      </c>
      <c r="M13" s="2" t="s">
        <v>474</v>
      </c>
      <c r="N13" s="2" t="s">
        <v>140</v>
      </c>
      <c r="Q13" s="44">
        <v>11</v>
      </c>
      <c r="R13" s="44" t="s">
        <v>324</v>
      </c>
      <c r="S13" s="52"/>
      <c r="X13" s="2">
        <v>11</v>
      </c>
      <c r="Y13" s="2" t="s">
        <v>497</v>
      </c>
      <c r="Z13" s="2" t="s">
        <v>518</v>
      </c>
      <c r="AA13" s="2" t="str">
        <f>tbo_textitem_11 &amp; ""</f>
        <v xml:space="preserve">Gearing - Net cash Postivie so grearing is 0. Free cash flow is okay. Balance sheet- shws the debotor days as 67 whenre cridtor day is 63. Debt profile at the momment is </v>
      </c>
    </row>
    <row r="14" spans="1:27" ht="11.25" customHeight="1">
      <c r="A14" s="3" t="s">
        <v>132</v>
      </c>
      <c r="C14" s="4">
        <v>5.3615399999999998</v>
      </c>
      <c r="H14" s="2">
        <v>12</v>
      </c>
      <c r="I14" s="44" t="s">
        <v>142</v>
      </c>
      <c r="J14" s="10"/>
      <c r="K14" s="10"/>
      <c r="L14" s="2">
        <v>12</v>
      </c>
      <c r="M14" s="2" t="s">
        <v>475</v>
      </c>
      <c r="N14" s="2" t="s">
        <v>143</v>
      </c>
      <c r="Q14" s="44">
        <v>12</v>
      </c>
      <c r="R14" s="44" t="s">
        <v>325</v>
      </c>
      <c r="S14" s="10"/>
      <c r="X14" s="2">
        <v>12</v>
      </c>
      <c r="Y14" s="2" t="s">
        <v>498</v>
      </c>
      <c r="Z14" s="2" t="s">
        <v>519</v>
      </c>
      <c r="AA14" s="2" t="str">
        <f>tbo_textitem_12 &amp; ""</f>
        <v xml:space="preserve">super high due </v>
      </c>
    </row>
    <row r="15" spans="1:27">
      <c r="A15" s="3" t="s">
        <v>135</v>
      </c>
      <c r="C15" s="4">
        <v>3.6156700000000002</v>
      </c>
      <c r="H15" s="2">
        <v>13</v>
      </c>
      <c r="I15" s="44" t="s">
        <v>145</v>
      </c>
      <c r="J15" s="10"/>
      <c r="K15" s="10"/>
      <c r="L15" s="2">
        <v>13</v>
      </c>
      <c r="M15" s="2" t="s">
        <v>476</v>
      </c>
      <c r="N15" s="2" t="s">
        <v>146</v>
      </c>
      <c r="Q15" s="44">
        <v>13</v>
      </c>
      <c r="R15" s="44" t="s">
        <v>326</v>
      </c>
      <c r="S15" s="10"/>
      <c r="X15" s="2">
        <v>13</v>
      </c>
      <c r="Y15" s="2" t="s">
        <v>499</v>
      </c>
      <c r="Z15" s="2" t="s">
        <v>520</v>
      </c>
      <c r="AA15" s="2" t="str">
        <f>tbo_textitem_13 &amp; ""</f>
        <v>High amount of growth as a result of sustained growth in animal nutrition ( main sector). In particuly</v>
      </c>
    </row>
    <row r="16" spans="1:27">
      <c r="A16" s="3" t="s">
        <v>138</v>
      </c>
      <c r="C16" s="4">
        <v>3.5236999999999998</v>
      </c>
      <c r="H16" s="2">
        <v>14</v>
      </c>
      <c r="I16" s="44" t="s">
        <v>148</v>
      </c>
      <c r="J16" s="52"/>
      <c r="K16" s="11"/>
      <c r="L16" s="2">
        <v>14</v>
      </c>
      <c r="M16" s="2" t="s">
        <v>477</v>
      </c>
      <c r="N16" s="2" t="s">
        <v>149</v>
      </c>
      <c r="Q16" s="44">
        <v>14</v>
      </c>
      <c r="R16" s="44" t="s">
        <v>327</v>
      </c>
      <c r="S16" s="10" t="e">
        <f ca="1">((1+EPS_GRWTH_CAGR_NEXT_5YRS)*(1+IF(ISERROR(VLOOKUP(EOMONTH(PRICE_DATE,-1) &amp; TRADING_CCY,[1]Sheet1!B$2:F$1048576,5,FALSE/100)),IF(ISERROR(VLOOKUP(EOMONTH(PRICE_DATE,-2)&amp; TRADING_CCY,[1]Sheet1!B$2:F$1048576,5,FALSE)/100),"-",VLOOKUP(EOMONTH(PRICE_DATE,-2)&amp;TRADING_CCY,[1]Sheet1!B$2:F$1048576,5,FALSE)/100),VLOOKUP(EOMONTH(PRICE_DATE,-1)&amp;TRADING_CCY,[1]Sheet1!B$2:F$1048576,5,FALSE)/100))/(1+IF(ISERROR(VLOOKUP(EOMONTH(PRICE_DATE,-1)&amp;tbo_textitem_26,[1]Sheet1!B$2:F$1048576,5,FALSE/100)),IF(ISERROR(VLOOKUP(EOMONTH(PRICE_DATE,-2)&amp;tbo_textitem_26,[1]Sheet1!B$2:F$1048576,5,FALSE)/100),"-",VLOOKUP(EOMONTH(PRICE_DATE,-2)&amp;tbo_textitem_26,[1]Sheet1!B$2:F$1048576,5,FALSE)/100),VLOOKUP(EOMONTH(PRICE_DATE,-1)&amp;tbo_textitem_26,[1]Sheet1!B$2:F$1048576,5,FALSE)/100))-1)*100</f>
        <v>#VALUE!</v>
      </c>
      <c r="X16" s="2">
        <v>14</v>
      </c>
      <c r="Y16" s="2" t="s">
        <v>500</v>
      </c>
      <c r="Z16" s="2" t="s">
        <v>521</v>
      </c>
      <c r="AA16" s="2" t="str">
        <f>tbo_textitem_14 &amp; ""</f>
        <v>a strong pipeline of prodcuts to be released from 2020 iwards. This products. In particularly: Clean Cow, veramis and Stevia should bethe driving forece of evenu within the 5 years stated.</v>
      </c>
    </row>
    <row r="17" spans="1:27">
      <c r="A17" s="3" t="s">
        <v>141</v>
      </c>
      <c r="C17" s="4">
        <v>0.25808999999999999</v>
      </c>
      <c r="H17" s="2">
        <v>15</v>
      </c>
      <c r="I17" s="55" t="s">
        <v>151</v>
      </c>
      <c r="J17" s="10">
        <v>102.15</v>
      </c>
      <c r="K17" s="10"/>
      <c r="L17" s="2">
        <v>15</v>
      </c>
      <c r="M17" s="2" t="s">
        <v>478</v>
      </c>
      <c r="N17" s="2" t="s">
        <v>152</v>
      </c>
      <c r="Q17" s="44">
        <v>15</v>
      </c>
      <c r="R17" s="44" t="s">
        <v>328</v>
      </c>
      <c r="S17" s="10" t="e">
        <f ca="1">PRICE</f>
        <v>#NAME?</v>
      </c>
      <c r="X17" s="2">
        <v>15</v>
      </c>
      <c r="Y17" s="2" t="s">
        <v>501</v>
      </c>
      <c r="Z17" s="2" t="s">
        <v>522</v>
      </c>
      <c r="AA17" s="2" t="str">
        <f>tbo_textitem_15 &amp; ""</f>
        <v/>
      </c>
    </row>
    <row r="18" spans="1:27">
      <c r="A18" s="3" t="s">
        <v>144</v>
      </c>
      <c r="C18" s="4">
        <v>2.2999999999999998</v>
      </c>
      <c r="H18" s="2">
        <v>16</v>
      </c>
      <c r="I18" s="55" t="s">
        <v>154</v>
      </c>
      <c r="J18" s="45">
        <v>43621</v>
      </c>
      <c r="K18" s="45"/>
      <c r="L18" s="2">
        <v>16</v>
      </c>
      <c r="M18" s="2" t="s">
        <v>479</v>
      </c>
      <c r="N18" s="2" t="s">
        <v>155</v>
      </c>
      <c r="Q18" s="44">
        <v>16</v>
      </c>
      <c r="R18" s="44" t="s">
        <v>329</v>
      </c>
      <c r="S18" s="45">
        <f ca="1">PRICE_DATE</f>
        <v>43692</v>
      </c>
      <c r="X18" s="2">
        <v>16</v>
      </c>
      <c r="Y18" s="2" t="s">
        <v>502</v>
      </c>
      <c r="Z18" s="2" t="s">
        <v>523</v>
      </c>
      <c r="AA18" s="2" t="str">
        <f>tbo_textitem_16 &amp; ""</f>
        <v/>
      </c>
    </row>
    <row r="19" spans="1:27">
      <c r="A19" s="3" t="s">
        <v>147</v>
      </c>
      <c r="C19" s="4">
        <v>1.85</v>
      </c>
      <c r="H19" s="2">
        <v>17</v>
      </c>
      <c r="I19" s="56" t="s">
        <v>156</v>
      </c>
      <c r="J19" s="47"/>
      <c r="K19" s="47"/>
      <c r="L19" s="2">
        <v>17</v>
      </c>
      <c r="M19" s="2" t="s">
        <v>480</v>
      </c>
      <c r="N19" s="2" t="s">
        <v>157</v>
      </c>
      <c r="Q19" s="44">
        <v>17</v>
      </c>
      <c r="R19" s="46" t="s">
        <v>330</v>
      </c>
      <c r="S19" s="47" t="e">
        <f ca="1">TARGET_PRICE_UPSIDE * 100</f>
        <v>#NAME?</v>
      </c>
      <c r="X19" s="2">
        <v>17</v>
      </c>
      <c r="Y19" s="2" t="s">
        <v>503</v>
      </c>
      <c r="Z19" s="2" t="s">
        <v>524</v>
      </c>
      <c r="AA19" s="2" t="str">
        <f>tbo_textitem_17 &amp; ""</f>
        <v/>
      </c>
    </row>
    <row r="20" spans="1:27">
      <c r="A20" s="3" t="s">
        <v>150</v>
      </c>
      <c r="C20" s="4">
        <v>1.75</v>
      </c>
      <c r="H20" s="2">
        <v>18</v>
      </c>
      <c r="I20" s="56" t="s">
        <v>159</v>
      </c>
      <c r="J20" s="47"/>
      <c r="K20" s="47"/>
      <c r="L20" s="2">
        <v>18</v>
      </c>
      <c r="M20" s="2" t="s">
        <v>481</v>
      </c>
      <c r="N20" s="2" t="s">
        <v>160</v>
      </c>
      <c r="Q20" s="44">
        <v>18</v>
      </c>
      <c r="R20" s="46" t="s">
        <v>331</v>
      </c>
      <c r="S20" s="47">
        <f>DL_TARGET_PRICE_DOWNSIDE</f>
        <v>0</v>
      </c>
      <c r="X20" s="2">
        <v>18</v>
      </c>
      <c r="Y20" s="2" t="s">
        <v>504</v>
      </c>
      <c r="Z20" s="2" t="s">
        <v>525</v>
      </c>
      <c r="AA20" s="2" t="str">
        <f>tbo_textitem_18 &amp; ""</f>
        <v/>
      </c>
    </row>
    <row r="21" spans="1:27">
      <c r="A21" s="3" t="s">
        <v>153</v>
      </c>
      <c r="C21" s="4">
        <v>1.65</v>
      </c>
      <c r="H21" s="2">
        <v>19</v>
      </c>
      <c r="I21" s="55" t="s">
        <v>162</v>
      </c>
      <c r="J21" s="10"/>
      <c r="K21" s="10"/>
      <c r="L21" s="2">
        <v>19</v>
      </c>
      <c r="M21" s="48" t="s">
        <v>482</v>
      </c>
      <c r="N21" s="2" t="s">
        <v>163</v>
      </c>
      <c r="O21" s="48"/>
      <c r="Q21" s="44">
        <v>19</v>
      </c>
      <c r="R21" s="44" t="s">
        <v>332</v>
      </c>
      <c r="S21" s="10" t="e">
        <f ca="1">MARKET_VALUE</f>
        <v>#NAME?</v>
      </c>
      <c r="X21" s="2">
        <v>19</v>
      </c>
      <c r="Y21" s="48" t="s">
        <v>505</v>
      </c>
      <c r="Z21" s="2" t="s">
        <v>526</v>
      </c>
      <c r="AA21" s="2" t="str">
        <f>tbo_textitem_19 &amp; ""</f>
        <v/>
      </c>
    </row>
    <row r="22" spans="1:27">
      <c r="A22" s="3" t="s">
        <v>614</v>
      </c>
      <c r="C22" s="4" t="s">
        <v>615</v>
      </c>
      <c r="H22" s="2">
        <v>20</v>
      </c>
      <c r="I22" s="44" t="s">
        <v>165</v>
      </c>
      <c r="J22" s="10"/>
      <c r="K22" s="10"/>
      <c r="L22" s="2">
        <v>20</v>
      </c>
      <c r="M22" s="48" t="s">
        <v>483</v>
      </c>
      <c r="N22" s="2" t="s">
        <v>166</v>
      </c>
      <c r="O22" s="48"/>
      <c r="Q22" s="44">
        <v>20</v>
      </c>
      <c r="R22" s="44" t="s">
        <v>333</v>
      </c>
      <c r="S22" s="10" t="e">
        <f ca="1">DIVIDEND_YIELD_FY0 * 100</f>
        <v>#NAME?</v>
      </c>
      <c r="X22" s="2">
        <v>20</v>
      </c>
      <c r="Y22" s="48" t="s">
        <v>506</v>
      </c>
      <c r="Z22" s="2" t="s">
        <v>527</v>
      </c>
      <c r="AA22" s="2" t="str">
        <f>tbo_textitem_20 &amp; ""</f>
        <v/>
      </c>
    </row>
    <row r="23" spans="1:27">
      <c r="A23" s="3" t="s">
        <v>158</v>
      </c>
      <c r="C23" s="4" t="s">
        <v>616</v>
      </c>
      <c r="H23" s="2">
        <v>21</v>
      </c>
      <c r="I23" s="44" t="s">
        <v>168</v>
      </c>
      <c r="J23" s="10">
        <v>5.048</v>
      </c>
      <c r="K23" s="10"/>
      <c r="L23" s="2">
        <v>21</v>
      </c>
      <c r="M23" s="2" t="s">
        <v>539</v>
      </c>
      <c r="N23" s="2" t="s">
        <v>169</v>
      </c>
      <c r="Q23" s="44">
        <v>21</v>
      </c>
      <c r="R23" s="44" t="s">
        <v>334</v>
      </c>
      <c r="S23" s="10" t="e">
        <f ca="1">EPS_FY1_CONSENSUS</f>
        <v>#NAME?</v>
      </c>
      <c r="X23" s="2">
        <v>21</v>
      </c>
      <c r="Y23" s="2" t="s">
        <v>535</v>
      </c>
      <c r="Z23" s="2" t="s">
        <v>528</v>
      </c>
      <c r="AA23" s="2" t="str">
        <f>tbo_textitem_21 &amp; ""</f>
        <v/>
      </c>
    </row>
    <row r="24" spans="1:27">
      <c r="A24" s="3" t="s">
        <v>161</v>
      </c>
      <c r="C24" s="4" t="s">
        <v>617</v>
      </c>
      <c r="H24" s="2">
        <v>22</v>
      </c>
      <c r="I24" s="44" t="s">
        <v>171</v>
      </c>
      <c r="J24" s="10">
        <v>5.7069999999999999</v>
      </c>
      <c r="K24" s="10"/>
      <c r="L24" s="2">
        <v>22</v>
      </c>
      <c r="M24" s="2" t="s">
        <v>540</v>
      </c>
      <c r="N24" s="2" t="s">
        <v>172</v>
      </c>
      <c r="Q24" s="44">
        <v>22</v>
      </c>
      <c r="R24" s="44" t="s">
        <v>335</v>
      </c>
      <c r="S24" s="10" t="e">
        <f ca="1">EPS_FY2_CONSENSUS</f>
        <v>#NAME?</v>
      </c>
      <c r="X24" s="2">
        <v>22</v>
      </c>
      <c r="Y24" s="2" t="s">
        <v>536</v>
      </c>
      <c r="Z24" s="2" t="s">
        <v>529</v>
      </c>
      <c r="AA24" s="2" t="str">
        <f>tbo_textitem_22 &amp; ""</f>
        <v/>
      </c>
    </row>
    <row r="25" spans="1:27">
      <c r="A25" s="3" t="s">
        <v>164</v>
      </c>
      <c r="C25" s="4" t="s">
        <v>618</v>
      </c>
      <c r="H25" s="2">
        <v>23</v>
      </c>
      <c r="I25" s="44" t="s">
        <v>174</v>
      </c>
      <c r="J25" s="10">
        <v>6.1740000000000004</v>
      </c>
      <c r="K25" s="10"/>
      <c r="L25" s="2">
        <v>23</v>
      </c>
      <c r="M25" s="2" t="s">
        <v>541</v>
      </c>
      <c r="N25" s="2" t="s">
        <v>175</v>
      </c>
      <c r="Q25" s="44">
        <v>23</v>
      </c>
      <c r="R25" s="44" t="s">
        <v>336</v>
      </c>
      <c r="S25" s="10" t="e">
        <f ca="1">EPS_FY3_CONSENSUS</f>
        <v>#NAME?</v>
      </c>
      <c r="X25" s="2">
        <v>23</v>
      </c>
      <c r="Y25" s="2" t="s">
        <v>537</v>
      </c>
      <c r="Z25" s="2" t="s">
        <v>530</v>
      </c>
      <c r="AA25" s="2" t="str">
        <f>tbo_textitem_23 &amp; ""</f>
        <v/>
      </c>
    </row>
    <row r="26" spans="1:27">
      <c r="A26" s="3" t="s">
        <v>167</v>
      </c>
      <c r="C26" s="4" t="s">
        <v>619</v>
      </c>
      <c r="H26" s="2">
        <v>24</v>
      </c>
      <c r="I26" s="44" t="s">
        <v>177</v>
      </c>
      <c r="J26" s="45">
        <v>43830</v>
      </c>
      <c r="K26" s="45"/>
      <c r="L26" s="2">
        <v>24</v>
      </c>
      <c r="M26" s="2" t="s">
        <v>542</v>
      </c>
      <c r="N26" s="2" t="s">
        <v>178</v>
      </c>
      <c r="Q26" s="44">
        <v>24</v>
      </c>
      <c r="R26" s="44" t="s">
        <v>337</v>
      </c>
      <c r="S26" s="45"/>
      <c r="X26" s="2">
        <v>24</v>
      </c>
      <c r="Y26" s="2" t="s">
        <v>538</v>
      </c>
      <c r="Z26" s="2" t="s">
        <v>531</v>
      </c>
      <c r="AA26" s="2" t="str">
        <f>tbo_textitem_24&amp;""</f>
        <v/>
      </c>
    </row>
    <row r="27" spans="1:27">
      <c r="A27" s="3" t="s">
        <v>170</v>
      </c>
      <c r="C27" s="4" t="s">
        <v>620</v>
      </c>
      <c r="H27" s="2">
        <v>25</v>
      </c>
      <c r="I27" s="44" t="s">
        <v>180</v>
      </c>
      <c r="J27" s="45">
        <v>44196</v>
      </c>
      <c r="K27" s="45"/>
      <c r="L27" s="2">
        <v>25</v>
      </c>
      <c r="M27" s="2" t="s">
        <v>579</v>
      </c>
      <c r="N27" s="2" t="s">
        <v>577</v>
      </c>
      <c r="O27" s="2" t="s">
        <v>641</v>
      </c>
      <c r="Q27" s="44">
        <v>25</v>
      </c>
      <c r="R27" s="44" t="s">
        <v>338</v>
      </c>
      <c r="S27" s="45"/>
      <c r="X27" s="2">
        <v>25</v>
      </c>
      <c r="Y27" s="2" t="s">
        <v>575</v>
      </c>
      <c r="Z27" s="2" t="s">
        <v>573</v>
      </c>
      <c r="AA27" s="2" t="str">
        <f>tbo_textitem_25&amp;""</f>
        <v xml:space="preserve">Koninklijke DSM N.V. (Royal DSM) is a global science-based company, engaged in offering health, nutrition and materials. The Company's segments include Nutrition, Performance Materials, Innovation Center and Corporate Activities. Its Nutrition segment includes DSM Nutritional Products and DSM Food Specialties. Its Performance Materials segment consists of DSM Engineering Plastics, DSM Dyneema, and DSM Resins and Functional Materials. Its Innovation Center segment serves as an enabler and accelerator of innovation within DSM, as well as providing support to the clusters. Its Corporate Activities segment includes various holding companies and corporate overheads. The Corporate Activities segment includes Sitech Services. The Company delivers its solutions in global markets, such as food and dietary supplements, personal care, feed, medical devices, automotive, paints, electrical and electronics, life protection, alternative energy and bio-based materials.      </v>
      </c>
    </row>
    <row r="28" spans="1:27">
      <c r="A28" s="3" t="s">
        <v>173</v>
      </c>
      <c r="C28" s="4" t="s">
        <v>621</v>
      </c>
      <c r="H28" s="2">
        <v>26</v>
      </c>
      <c r="I28" s="44" t="s">
        <v>182</v>
      </c>
      <c r="J28" s="45">
        <v>44561</v>
      </c>
      <c r="K28" s="45"/>
      <c r="L28" s="2">
        <v>26</v>
      </c>
      <c r="M28" s="2" t="s">
        <v>580</v>
      </c>
      <c r="N28" s="2" t="s">
        <v>578</v>
      </c>
      <c r="O28" s="2" t="s">
        <v>611</v>
      </c>
      <c r="Q28" s="44">
        <v>26</v>
      </c>
      <c r="R28" s="44" t="s">
        <v>339</v>
      </c>
      <c r="S28" s="45"/>
      <c r="X28" s="2">
        <v>26</v>
      </c>
      <c r="Y28" s="2" t="s">
        <v>576</v>
      </c>
      <c r="Z28" s="2" t="s">
        <v>574</v>
      </c>
      <c r="AA28" s="2" t="e">
        <f ca="1">tbo_textitem_26&amp;""</f>
        <v>#NAME?</v>
      </c>
    </row>
    <row r="29" spans="1:27">
      <c r="A29" s="3" t="s">
        <v>176</v>
      </c>
      <c r="C29" s="4" t="s">
        <v>622</v>
      </c>
      <c r="H29" s="2">
        <v>27</v>
      </c>
      <c r="I29" s="44" t="s">
        <v>184</v>
      </c>
      <c r="J29" s="10"/>
      <c r="K29" s="10"/>
      <c r="Q29" s="44">
        <v>27</v>
      </c>
      <c r="R29" s="44" t="s">
        <v>340</v>
      </c>
      <c r="S29" s="10">
        <f>EPS_3Y</f>
        <v>2.1448028673835124</v>
      </c>
    </row>
    <row r="30" spans="1:27">
      <c r="A30" s="3" t="s">
        <v>179</v>
      </c>
      <c r="C30" s="4" t="s">
        <v>623</v>
      </c>
      <c r="H30" s="2">
        <v>28</v>
      </c>
      <c r="I30" s="44" t="s">
        <v>186</v>
      </c>
      <c r="J30" s="10"/>
      <c r="K30" s="10"/>
      <c r="Q30" s="44">
        <v>28</v>
      </c>
      <c r="R30" s="44" t="s">
        <v>341</v>
      </c>
      <c r="S30" s="10">
        <f>EPS_2Y</f>
        <v>2.9077406455298482</v>
      </c>
    </row>
    <row r="31" spans="1:27">
      <c r="A31" s="3" t="s">
        <v>181</v>
      </c>
      <c r="C31" s="4" t="s">
        <v>624</v>
      </c>
      <c r="H31" s="2">
        <v>29</v>
      </c>
      <c r="I31" s="44" t="s">
        <v>188</v>
      </c>
      <c r="J31" s="10"/>
      <c r="K31" s="10"/>
      <c r="Q31" s="44">
        <v>29</v>
      </c>
      <c r="R31" s="44" t="s">
        <v>342</v>
      </c>
      <c r="S31" s="10">
        <f>EPS_1Y</f>
        <v>3.91327944242909</v>
      </c>
    </row>
    <row r="32" spans="1:27">
      <c r="A32" s="3" t="s">
        <v>183</v>
      </c>
      <c r="C32" s="4" t="s">
        <v>625</v>
      </c>
      <c r="H32" s="2">
        <v>30</v>
      </c>
      <c r="I32" s="44" t="s">
        <v>190</v>
      </c>
      <c r="J32" s="10"/>
      <c r="K32" s="10"/>
      <c r="N32" s="38" t="s">
        <v>19</v>
      </c>
      <c r="Q32" s="44">
        <v>30</v>
      </c>
      <c r="R32" s="44" t="s">
        <v>343</v>
      </c>
      <c r="S32" s="10">
        <f>EPS_FY0</f>
        <v>4.3062200956937797</v>
      </c>
    </row>
    <row r="33" spans="1:19">
      <c r="A33" s="3" t="s">
        <v>185</v>
      </c>
      <c r="C33" s="4" t="s">
        <v>626</v>
      </c>
      <c r="H33" s="2">
        <v>31</v>
      </c>
      <c r="I33" s="44" t="s">
        <v>192</v>
      </c>
      <c r="J33" s="10"/>
      <c r="K33" s="10"/>
      <c r="M33" s="40"/>
      <c r="N33" s="40"/>
      <c r="O33" s="40"/>
      <c r="Q33" s="44">
        <v>31</v>
      </c>
      <c r="R33" s="44" t="s">
        <v>344</v>
      </c>
      <c r="S33" s="10">
        <f>EPS_FY3</f>
        <v>7.2942571756063508</v>
      </c>
    </row>
    <row r="34" spans="1:19" ht="11.25" customHeight="1">
      <c r="A34" s="3" t="s">
        <v>187</v>
      </c>
      <c r="C34" s="4" t="s">
        <v>627</v>
      </c>
      <c r="H34" s="2">
        <v>32</v>
      </c>
      <c r="I34" s="44" t="s">
        <v>194</v>
      </c>
      <c r="J34" s="10"/>
      <c r="K34" s="10"/>
      <c r="M34" s="2" t="s">
        <v>485</v>
      </c>
      <c r="N34" s="855" t="str">
        <f>CONCATENATE(IF(ISNA(VLOOKUP("3003,1",FS_DATA,3,0)),"",VLOOKUP("3003,1",FS_DATA,3,0)), " ",IF(ISNA(VLOOKUP("3003,2",FS_DATA,3,0)),"",VLOOKUP("3003,2",FS_DATA,3,0)), " ",IF(ISNA(VLOOKUP("3003,3",FS_DATA,3,0)),"",VLOOKUP("3003,3",FS_DATA,3,0)), " ",IF(ISNA(VLOOKUP("3003,4",FS_DATA,3,0)),"",VLOOKUP("3003,4",FS_DATA,3,0)), " ",IF(ISNA(VLOOKUP("3003,5",FS_DATA,3,0)),"",VLOOKUP("3003,5",FS_DATA,3,0)), " ",IF(ISNA(VLOOKUP("3003,6",FS_DATA,3,0)),"",VLOOKUP("3003,6",FS_DATA,3,0)), " ",IF(ISNA(VLOOKUP("3003,7",FS_DATA,3,0)),"",VLOOKUP("3003,7",FS_DATA,3,0)), " ",IF(ISNA(VLOOKUP("3003,8",FS_DATA,3,0)),"",VLOOKUP("3003,8",FS_DATA,3,0)), " ",IF(ISNA(VLOOKUP("3003,9",FS_DATA,3,0)),"",VLOOKUP("3003,9",FS_DATA,3,0)), " ",IF(ISNA(VLOOKUP("3003,10",FS_DATA,3,0)),"",VLOOKUP("3003,10",FS_DATA,3,0)), " ",IF(ISNA(VLOOKUP("3003,11",FS_DATA,3,0)),"",VLOOKUP("3003,11",FS_DATA,3,0)), " ",IF(ISNA(VLOOKUP("3003,12",FS_DATA,3,0)),"",VLOOKUP("3003,12",FS_DATA,3,0)), " ",IF(ISNA(VLOOKUP("3003,13",FS_DATA,3,0)),"",VLOOKUP("3003,13",FS_DATA,3,0)), " ",IF(ISNA(VLOOKUP("3003,14",FS_DATA,3,0)),"",VLOOKUP("3003,14",FS_DATA,3,0)), " ",IF(ISNA(VLOOKUP("3003,15",FS_DATA,3,0)),"",VLOOKUP("3003,15",FS_DATA,3,0)), " ",IF(ISNA(VLOOKUP("3003,16",FS_DATA,3,0)),"",VLOOKUP("3003,16",FS_DATA,3,0)), " ",IF(ISNA(VLOOKUP("3003,17",FS_DATA,3,0)),"",VLOOKUP("3003,17",FS_DATA,3,0)), " ",IF(ISNA(VLOOKUP("3003,18",FS_DATA,3,0)),"",VLOOKUP("3003,18",FS_DATA,3,0)), " ",IF(ISNA(VLOOKUP("3003,19",FS_DATA,3,0)),"",VLOOKUP("3003,19",FS_DATA,3,0)), " ",IF(ISNA(VLOOKUP("3003,20",FS_DATA,3,0)),"",VLOOKUP("3003,20",FS_DATA,3,0)))</f>
        <v xml:space="preserve">Koninklijke DSM N.V. (Royal DSM) is a global science-based company, engaged in offering health, nutrition and materials. The Company's segments include Nutrition, Performance Materials, Innovation Center and Corporate Activities. Its Nutrition segment includes DSM Nutritional Products and DSM Food Specialties. Its Performance Materials segment consists of DSM Engineering Plastics, DSM Dyneema, and DSM Resins and Functional Materials. Its Innovation Center segment serves as an enabler and accelerator of innovation within DSM, as well as providing support to the clusters. Its Corporate Activities segment includes various holding companies and corporate overheads. The Corporate Activities segment includes Sitech Services. The Company delivers its solutions in global markets, such as food and dietary supplements, personal care, feed, medical devices, automotive, paints, electrical and electronics, life protection, alternative energy and bio-based materials.      </v>
      </c>
      <c r="O34" s="855"/>
      <c r="P34" s="51"/>
      <c r="Q34" s="44">
        <v>32</v>
      </c>
      <c r="R34" s="44" t="s">
        <v>345</v>
      </c>
      <c r="S34" s="10">
        <f>EPS_FY4</f>
        <v>7.7910602861016622</v>
      </c>
    </row>
    <row r="35" spans="1:19">
      <c r="A35" s="3" t="s">
        <v>189</v>
      </c>
      <c r="C35" s="4" t="s">
        <v>628</v>
      </c>
      <c r="H35" s="2">
        <v>33</v>
      </c>
      <c r="I35" s="44" t="s">
        <v>196</v>
      </c>
      <c r="J35" s="10"/>
      <c r="K35" s="10"/>
      <c r="N35" s="855"/>
      <c r="O35" s="855"/>
      <c r="P35" s="51"/>
      <c r="Q35" s="44">
        <v>33</v>
      </c>
      <c r="R35" s="44" t="s">
        <v>346</v>
      </c>
      <c r="S35" s="10">
        <f>EPS_FY5</f>
        <v>8.2950995057877019</v>
      </c>
    </row>
    <row r="36" spans="1:19">
      <c r="A36" s="3" t="s">
        <v>191</v>
      </c>
      <c r="C36" s="4" t="s">
        <v>629</v>
      </c>
      <c r="H36" s="2">
        <v>34</v>
      </c>
      <c r="I36" s="46" t="s">
        <v>198</v>
      </c>
      <c r="J36" s="47"/>
      <c r="K36" s="47"/>
      <c r="N36" s="855"/>
      <c r="O36" s="855"/>
      <c r="P36" s="51"/>
      <c r="Q36" s="44">
        <v>34</v>
      </c>
      <c r="R36" s="46" t="s">
        <v>347</v>
      </c>
      <c r="S36" s="47">
        <f>EPS_GRWTH_2Y * 100</f>
        <v>35.571463920927087</v>
      </c>
    </row>
    <row r="37" spans="1:19">
      <c r="A37" s="3" t="s">
        <v>193</v>
      </c>
      <c r="C37" s="4" t="s">
        <v>630</v>
      </c>
      <c r="H37" s="2">
        <v>35</v>
      </c>
      <c r="I37" s="46" t="s">
        <v>199</v>
      </c>
      <c r="J37" s="47"/>
      <c r="K37" s="47"/>
      <c r="N37" s="855"/>
      <c r="O37" s="855"/>
      <c r="P37" s="51"/>
      <c r="Q37" s="44">
        <v>35</v>
      </c>
      <c r="R37" s="46" t="s">
        <v>348</v>
      </c>
      <c r="S37" s="47">
        <f>EPS_GRWTH_1Y * 100</f>
        <v>34.58144722931479</v>
      </c>
    </row>
    <row r="38" spans="1:19">
      <c r="A38" s="3" t="s">
        <v>195</v>
      </c>
      <c r="C38" s="4" t="s">
        <v>631</v>
      </c>
      <c r="H38" s="2">
        <v>36</v>
      </c>
      <c r="I38" s="46" t="s">
        <v>201</v>
      </c>
      <c r="J38" s="47"/>
      <c r="K38" s="47"/>
      <c r="N38" s="855"/>
      <c r="O38" s="855"/>
      <c r="P38" s="51"/>
      <c r="Q38" s="44">
        <v>36</v>
      </c>
      <c r="R38" s="46" t="s">
        <v>349</v>
      </c>
      <c r="S38" s="47">
        <f>EPS_GRWTH_FY0 * 100</f>
        <v>10.041211189885782</v>
      </c>
    </row>
    <row r="39" spans="1:19">
      <c r="A39" s="3" t="s">
        <v>197</v>
      </c>
      <c r="C39" s="4" t="s">
        <v>632</v>
      </c>
      <c r="H39" s="2">
        <v>37</v>
      </c>
      <c r="I39" s="46" t="s">
        <v>203</v>
      </c>
      <c r="J39" s="47"/>
      <c r="K39" s="47"/>
      <c r="N39" s="855"/>
      <c r="O39" s="855"/>
      <c r="P39" s="51"/>
      <c r="Q39" s="44">
        <v>37</v>
      </c>
      <c r="R39" s="46" t="s">
        <v>350</v>
      </c>
      <c r="S39" s="47">
        <f>EPS_GRWTH_FY1 * 100</f>
        <v>18.613935299391645</v>
      </c>
    </row>
    <row r="40" spans="1:19">
      <c r="A40" s="3" t="s">
        <v>200</v>
      </c>
      <c r="C40" s="4" t="s">
        <v>633</v>
      </c>
      <c r="H40" s="2">
        <v>38</v>
      </c>
      <c r="I40" s="46" t="s">
        <v>204</v>
      </c>
      <c r="J40" s="47"/>
      <c r="K40" s="47"/>
      <c r="N40" s="855"/>
      <c r="O40" s="855"/>
      <c r="P40" s="51"/>
      <c r="Q40" s="44">
        <v>38</v>
      </c>
      <c r="R40" s="46" t="s">
        <v>351</v>
      </c>
      <c r="S40" s="47">
        <f>EPS_GRWTH_FY2 * 100</f>
        <v>37.960794387579625</v>
      </c>
    </row>
    <row r="41" spans="1:19">
      <c r="A41" s="3" t="s">
        <v>202</v>
      </c>
      <c r="C41" s="4">
        <v>44.303870000000003</v>
      </c>
      <c r="H41" s="2">
        <v>39</v>
      </c>
      <c r="I41" s="46" t="s">
        <v>205</v>
      </c>
      <c r="J41" s="47"/>
      <c r="K41" s="47"/>
      <c r="N41" s="855"/>
      <c r="O41" s="855"/>
      <c r="P41" s="51"/>
      <c r="Q41" s="44">
        <v>39</v>
      </c>
      <c r="R41" s="46" t="s">
        <v>352</v>
      </c>
      <c r="S41" s="47">
        <f>EPS_GRWTH_FY3 * 100</f>
        <v>3.5126546894038921</v>
      </c>
    </row>
    <row r="42" spans="1:19">
      <c r="C42" s="4"/>
      <c r="H42" s="2">
        <v>40</v>
      </c>
      <c r="I42" s="46" t="s">
        <v>206</v>
      </c>
      <c r="J42" s="47"/>
      <c r="K42" s="47"/>
      <c r="N42" s="855"/>
      <c r="O42" s="855"/>
      <c r="P42" s="51"/>
      <c r="Q42" s="44">
        <v>40</v>
      </c>
      <c r="R42" s="46" t="s">
        <v>353</v>
      </c>
      <c r="S42" s="47">
        <f>EPS_GRWTH_FY4 * 100</f>
        <v>6.8108801010846403</v>
      </c>
    </row>
    <row r="43" spans="1:19">
      <c r="C43" s="4"/>
      <c r="H43" s="2">
        <v>41</v>
      </c>
      <c r="I43" s="46" t="s">
        <v>207</v>
      </c>
      <c r="J43" s="47"/>
      <c r="K43" s="47"/>
      <c r="N43" s="855"/>
      <c r="O43" s="855"/>
      <c r="P43" s="51"/>
      <c r="Q43" s="44">
        <v>41</v>
      </c>
      <c r="R43" s="46" t="s">
        <v>354</v>
      </c>
      <c r="S43" s="47">
        <f>EPS_GRWTH_FY5 * 100</f>
        <v>6.4694560326427784</v>
      </c>
    </row>
    <row r="44" spans="1:19">
      <c r="C44" s="4"/>
      <c r="H44" s="2">
        <v>42</v>
      </c>
      <c r="I44" s="44" t="s">
        <v>208</v>
      </c>
      <c r="J44" s="10"/>
      <c r="K44" s="10"/>
      <c r="N44" s="855"/>
      <c r="O44" s="855"/>
      <c r="P44" s="51"/>
      <c r="Q44" s="44">
        <v>42</v>
      </c>
      <c r="R44" s="44" t="s">
        <v>355</v>
      </c>
      <c r="S44" s="10">
        <f>DPS_3Y</f>
        <v>1.65</v>
      </c>
    </row>
    <row r="45" spans="1:19">
      <c r="C45" s="4"/>
      <c r="H45" s="2">
        <v>43</v>
      </c>
      <c r="I45" s="44" t="s">
        <v>209</v>
      </c>
      <c r="J45" s="10"/>
      <c r="K45" s="10"/>
      <c r="N45" s="855"/>
      <c r="O45" s="855"/>
      <c r="P45" s="51"/>
      <c r="Q45" s="44">
        <v>43</v>
      </c>
      <c r="R45" s="44" t="s">
        <v>356</v>
      </c>
      <c r="S45" s="10">
        <f>DPS_2Y</f>
        <v>1.75</v>
      </c>
    </row>
    <row r="46" spans="1:19">
      <c r="C46" s="4"/>
      <c r="H46" s="2">
        <v>44</v>
      </c>
      <c r="I46" s="44" t="s">
        <v>210</v>
      </c>
      <c r="J46" s="10"/>
      <c r="K46" s="10"/>
      <c r="N46" s="855"/>
      <c r="O46" s="855"/>
      <c r="P46" s="51"/>
      <c r="Q46" s="44">
        <v>44</v>
      </c>
      <c r="R46" s="44" t="s">
        <v>357</v>
      </c>
      <c r="S46" s="10">
        <f>DPS_1Y</f>
        <v>1.85</v>
      </c>
    </row>
    <row r="47" spans="1:19">
      <c r="C47" s="4"/>
      <c r="H47" s="2">
        <v>45</v>
      </c>
      <c r="I47" s="44" t="s">
        <v>211</v>
      </c>
      <c r="J47" s="10"/>
      <c r="K47" s="10"/>
      <c r="N47" s="855"/>
      <c r="O47" s="855"/>
      <c r="P47" s="51"/>
      <c r="Q47" s="44">
        <v>45</v>
      </c>
      <c r="R47" s="44" t="s">
        <v>358</v>
      </c>
      <c r="S47" s="10">
        <f>DPS_FY0</f>
        <v>2.2999999999999998</v>
      </c>
    </row>
    <row r="48" spans="1:19">
      <c r="C48" s="4"/>
      <c r="H48" s="2">
        <v>46</v>
      </c>
      <c r="I48" s="44" t="s">
        <v>212</v>
      </c>
      <c r="J48" s="10"/>
      <c r="K48" s="10"/>
      <c r="N48" s="855"/>
      <c r="O48" s="855"/>
      <c r="P48" s="51"/>
      <c r="Q48" s="44">
        <v>46</v>
      </c>
      <c r="R48" s="44" t="s">
        <v>359</v>
      </c>
      <c r="S48" s="10">
        <f>DPS_FY1</f>
        <v>1.85</v>
      </c>
    </row>
    <row r="49" spans="3:19">
      <c r="C49" s="4"/>
      <c r="H49" s="2">
        <v>47</v>
      </c>
      <c r="I49" s="44" t="s">
        <v>213</v>
      </c>
      <c r="J49" s="10"/>
      <c r="K49" s="10"/>
      <c r="N49" s="855"/>
      <c r="O49" s="855"/>
      <c r="P49" s="51"/>
      <c r="Q49" s="44">
        <v>47</v>
      </c>
      <c r="R49" s="44" t="s">
        <v>360</v>
      </c>
      <c r="S49" s="10">
        <f>DPS_FY2</f>
        <v>1.85</v>
      </c>
    </row>
    <row r="50" spans="3:19">
      <c r="C50" s="4"/>
      <c r="H50" s="2">
        <v>48</v>
      </c>
      <c r="I50" s="44" t="s">
        <v>214</v>
      </c>
      <c r="J50" s="10"/>
      <c r="K50" s="10"/>
      <c r="N50" s="855"/>
      <c r="O50" s="855"/>
      <c r="P50" s="51"/>
      <c r="Q50" s="44">
        <v>48</v>
      </c>
      <c r="R50" s="44" t="s">
        <v>361</v>
      </c>
      <c r="S50" s="10">
        <f>DPS_FY3</f>
        <v>1.85</v>
      </c>
    </row>
    <row r="51" spans="3:19">
      <c r="C51" s="4"/>
      <c r="H51" s="2">
        <v>49</v>
      </c>
      <c r="I51" s="44" t="s">
        <v>215</v>
      </c>
      <c r="J51" s="10"/>
      <c r="K51" s="10"/>
      <c r="N51" s="855"/>
      <c r="O51" s="855"/>
      <c r="P51" s="51"/>
      <c r="Q51" s="44">
        <v>49</v>
      </c>
      <c r="R51" s="44" t="s">
        <v>362</v>
      </c>
      <c r="S51" s="10">
        <f>DPS_FY4</f>
        <v>1.85</v>
      </c>
    </row>
    <row r="52" spans="3:19">
      <c r="C52" s="4"/>
      <c r="H52" s="2">
        <v>50</v>
      </c>
      <c r="I52" s="44" t="s">
        <v>216</v>
      </c>
      <c r="J52" s="10"/>
      <c r="K52" s="10"/>
      <c r="N52" s="855"/>
      <c r="O52" s="855"/>
      <c r="P52" s="51"/>
      <c r="Q52" s="44">
        <v>50</v>
      </c>
      <c r="R52" s="44" t="s">
        <v>363</v>
      </c>
      <c r="S52" s="10">
        <f>DPS_FY5</f>
        <v>1.85</v>
      </c>
    </row>
    <row r="53" spans="3:19">
      <c r="C53" s="4"/>
      <c r="H53" s="2">
        <v>51</v>
      </c>
      <c r="I53" s="46" t="s">
        <v>217</v>
      </c>
      <c r="J53" s="47"/>
      <c r="K53" s="47"/>
      <c r="N53" s="855"/>
      <c r="O53" s="855"/>
      <c r="P53" s="51"/>
      <c r="Q53" s="44">
        <v>51</v>
      </c>
      <c r="R53" s="46" t="s">
        <v>364</v>
      </c>
      <c r="S53" s="47">
        <f>DPS_GRWTH_2Y * 100</f>
        <v>6.0606060606060659</v>
      </c>
    </row>
    <row r="54" spans="3:19">
      <c r="C54" s="4"/>
      <c r="H54" s="2">
        <v>52</v>
      </c>
      <c r="I54" s="46" t="s">
        <v>218</v>
      </c>
      <c r="J54" s="47"/>
      <c r="K54" s="47"/>
      <c r="N54" s="855"/>
      <c r="O54" s="855"/>
      <c r="P54" s="51"/>
      <c r="Q54" s="44">
        <v>52</v>
      </c>
      <c r="R54" s="46" t="s">
        <v>365</v>
      </c>
      <c r="S54" s="47">
        <f>DPS_GRWTH_1Y * 100</f>
        <v>5.7142857142857197</v>
      </c>
    </row>
    <row r="55" spans="3:19">
      <c r="C55" s="4"/>
      <c r="H55" s="2">
        <v>53</v>
      </c>
      <c r="I55" s="46" t="s">
        <v>219</v>
      </c>
      <c r="J55" s="47"/>
      <c r="K55" s="47"/>
      <c r="N55" s="855"/>
      <c r="O55" s="855"/>
      <c r="P55" s="51"/>
      <c r="Q55" s="44">
        <v>53</v>
      </c>
      <c r="R55" s="46" t="s">
        <v>366</v>
      </c>
      <c r="S55" s="47">
        <f>DPS_GRWTH_FY0 * 100</f>
        <v>24.324324324324309</v>
      </c>
    </row>
    <row r="56" spans="3:19">
      <c r="C56" s="4"/>
      <c r="H56" s="2">
        <v>54</v>
      </c>
      <c r="I56" s="46" t="s">
        <v>220</v>
      </c>
      <c r="J56" s="47"/>
      <c r="K56" s="47"/>
      <c r="N56" s="51"/>
      <c r="O56" s="51"/>
      <c r="P56" s="51"/>
      <c r="Q56" s="44">
        <v>54</v>
      </c>
      <c r="R56" s="46" t="s">
        <v>367</v>
      </c>
      <c r="S56" s="47">
        <f>DPS_GRWTH_FY1 * 100</f>
        <v>-19.565217391304337</v>
      </c>
    </row>
    <row r="57" spans="3:19">
      <c r="C57" s="4"/>
      <c r="H57" s="2">
        <v>55</v>
      </c>
      <c r="I57" s="46" t="s">
        <v>221</v>
      </c>
      <c r="J57" s="47"/>
      <c r="K57" s="47"/>
      <c r="N57" s="51"/>
      <c r="O57" s="51"/>
      <c r="P57" s="51"/>
      <c r="Q57" s="44">
        <v>55</v>
      </c>
      <c r="R57" s="46" t="s">
        <v>368</v>
      </c>
      <c r="S57" s="47">
        <f>DPS_GRWTH_FY2 * 100</f>
        <v>0</v>
      </c>
    </row>
    <row r="58" spans="3:19">
      <c r="C58" s="4"/>
      <c r="H58" s="2">
        <v>56</v>
      </c>
      <c r="I58" s="46" t="s">
        <v>222</v>
      </c>
      <c r="J58" s="47"/>
      <c r="K58" s="47"/>
      <c r="Q58" s="44">
        <v>56</v>
      </c>
      <c r="R58" s="46" t="s">
        <v>369</v>
      </c>
      <c r="S58" s="47">
        <f>DPS_GRWTH_FY3 * 100</f>
        <v>0</v>
      </c>
    </row>
    <row r="59" spans="3:19">
      <c r="C59" s="4"/>
      <c r="H59" s="2">
        <v>57</v>
      </c>
      <c r="I59" s="46" t="s">
        <v>223</v>
      </c>
      <c r="J59" s="47"/>
      <c r="K59" s="47"/>
      <c r="Q59" s="44">
        <v>57</v>
      </c>
      <c r="R59" s="46" t="s">
        <v>370</v>
      </c>
      <c r="S59" s="47">
        <f>DPS_GRWTH_FY4 * 100</f>
        <v>0</v>
      </c>
    </row>
    <row r="60" spans="3:19">
      <c r="C60" s="4"/>
      <c r="H60" s="2">
        <v>58</v>
      </c>
      <c r="I60" s="46" t="s">
        <v>224</v>
      </c>
      <c r="J60" s="47"/>
      <c r="K60" s="47"/>
      <c r="Q60" s="44">
        <v>58</v>
      </c>
      <c r="R60" s="46" t="s">
        <v>371</v>
      </c>
      <c r="S60" s="47">
        <f>DPS_GRWTH_FY5 * 100</f>
        <v>0</v>
      </c>
    </row>
    <row r="61" spans="3:19">
      <c r="C61" s="4"/>
      <c r="H61" s="2">
        <v>59</v>
      </c>
      <c r="I61" s="46" t="s">
        <v>225</v>
      </c>
      <c r="J61" s="47"/>
      <c r="K61" s="47"/>
      <c r="Q61" s="44">
        <v>59</v>
      </c>
      <c r="R61" s="46" t="s">
        <v>372</v>
      </c>
      <c r="S61" s="47">
        <f>DPS_PAYOUT_3Y * 100</f>
        <v>76.930147058823522</v>
      </c>
    </row>
    <row r="62" spans="3:19">
      <c r="C62" s="4"/>
      <c r="H62" s="2">
        <v>60</v>
      </c>
      <c r="I62" s="46" t="s">
        <v>226</v>
      </c>
      <c r="J62" s="47"/>
      <c r="K62" s="47"/>
      <c r="Q62" s="44">
        <v>60</v>
      </c>
      <c r="R62" s="46" t="s">
        <v>373</v>
      </c>
      <c r="S62" s="47">
        <f>DPS_PAYOUT_2Y * 100</f>
        <v>60.18418467583497</v>
      </c>
    </row>
    <row r="63" spans="3:19">
      <c r="C63" s="4"/>
      <c r="H63" s="2">
        <v>61</v>
      </c>
      <c r="I63" s="46" t="s">
        <v>227</v>
      </c>
      <c r="J63" s="47"/>
      <c r="K63" s="47"/>
      <c r="Q63" s="44">
        <v>61</v>
      </c>
      <c r="R63" s="46" t="s">
        <v>374</v>
      </c>
      <c r="S63" s="47">
        <f>DPS_PAYOUT_1Y * 100</f>
        <v>47.274927007299269</v>
      </c>
    </row>
    <row r="64" spans="3:19">
      <c r="C64" s="4"/>
      <c r="H64" s="2">
        <v>62</v>
      </c>
      <c r="I64" s="46" t="s">
        <v>228</v>
      </c>
      <c r="J64" s="47"/>
      <c r="K64" s="47"/>
      <c r="Q64" s="44">
        <v>62</v>
      </c>
      <c r="R64" s="46" t="s">
        <v>375</v>
      </c>
      <c r="S64" s="47">
        <f>DPS_PAYOUT_FY0 * 100</f>
        <v>53.411111111111111</v>
      </c>
    </row>
    <row r="65" spans="3:19">
      <c r="C65" s="4"/>
      <c r="H65" s="2">
        <v>63</v>
      </c>
      <c r="I65" s="46" t="s">
        <v>229</v>
      </c>
      <c r="J65" s="47"/>
      <c r="K65" s="47"/>
      <c r="Q65" s="44">
        <v>63</v>
      </c>
      <c r="R65" s="46" t="s">
        <v>376</v>
      </c>
      <c r="S65" s="47">
        <f>DPS_PAYOUT_FY1 * 100</f>
        <v>36.219278116583538</v>
      </c>
    </row>
    <row r="66" spans="3:19">
      <c r="C66" s="4"/>
      <c r="H66" s="2">
        <v>64</v>
      </c>
      <c r="I66" s="46" t="s">
        <v>230</v>
      </c>
      <c r="J66" s="47"/>
      <c r="K66" s="47"/>
      <c r="Q66" s="44">
        <v>64</v>
      </c>
      <c r="R66" s="46" t="s">
        <v>377</v>
      </c>
      <c r="S66" s="47">
        <f>DPS_PAYOUT_FY2 * 100</f>
        <v>26.253312237990635</v>
      </c>
    </row>
    <row r="67" spans="3:19">
      <c r="C67" s="4"/>
      <c r="H67" s="2">
        <v>65</v>
      </c>
      <c r="I67" s="46" t="s">
        <v>231</v>
      </c>
      <c r="J67" s="47"/>
      <c r="K67" s="47"/>
      <c r="Q67" s="44">
        <v>65</v>
      </c>
      <c r="R67" s="46" t="s">
        <v>378</v>
      </c>
      <c r="S67" s="47">
        <f>DPS_PAYOUT_FY3 * 100</f>
        <v>25.362418070298087</v>
      </c>
    </row>
    <row r="68" spans="3:19">
      <c r="C68" s="4"/>
      <c r="H68" s="2">
        <v>66</v>
      </c>
      <c r="I68" s="46" t="s">
        <v>232</v>
      </c>
      <c r="J68" s="47"/>
      <c r="K68" s="47"/>
      <c r="Q68" s="44">
        <v>66</v>
      </c>
      <c r="R68" s="46" t="s">
        <v>379</v>
      </c>
      <c r="S68" s="47">
        <f>DPS_PAYOUT_FY4 * 100</f>
        <v>23.7451634574075</v>
      </c>
    </row>
    <row r="69" spans="3:19">
      <c r="C69" s="4"/>
      <c r="H69" s="2">
        <v>67</v>
      </c>
      <c r="I69" s="46" t="s">
        <v>233</v>
      </c>
      <c r="J69" s="47"/>
      <c r="K69" s="47"/>
      <c r="Q69" s="44">
        <v>67</v>
      </c>
      <c r="R69" s="46" t="s">
        <v>380</v>
      </c>
      <c r="S69" s="47">
        <f>DPS_PAYOUT_FY5 * 100</f>
        <v>22.302324386937229</v>
      </c>
    </row>
    <row r="70" spans="3:19">
      <c r="C70" s="4"/>
      <c r="H70" s="2">
        <v>68</v>
      </c>
      <c r="I70" s="46" t="s">
        <v>234</v>
      </c>
      <c r="J70" s="47"/>
      <c r="K70" s="47"/>
      <c r="Q70" s="44">
        <v>68</v>
      </c>
      <c r="R70" s="46" t="s">
        <v>381</v>
      </c>
      <c r="S70" s="47" t="str">
        <f ca="1">PE_3Y</f>
        <v>-</v>
      </c>
    </row>
    <row r="71" spans="3:19">
      <c r="C71" s="4"/>
      <c r="H71" s="2">
        <v>69</v>
      </c>
      <c r="I71" s="46" t="s">
        <v>235</v>
      </c>
      <c r="J71" s="47"/>
      <c r="K71" s="47"/>
      <c r="Q71" s="44">
        <v>69</v>
      </c>
      <c r="R71" s="46" t="s">
        <v>382</v>
      </c>
      <c r="S71" s="47" t="str">
        <f ca="1">PE_2Y</f>
        <v>-</v>
      </c>
    </row>
    <row r="72" spans="3:19">
      <c r="C72" s="4"/>
      <c r="H72" s="2">
        <v>70</v>
      </c>
      <c r="I72" s="46" t="s">
        <v>236</v>
      </c>
      <c r="J72" s="47"/>
      <c r="K72" s="47"/>
      <c r="Q72" s="44">
        <v>70</v>
      </c>
      <c r="R72" s="46" t="s">
        <v>383</v>
      </c>
      <c r="S72" s="47" t="str">
        <f ca="1">PE_1Y</f>
        <v>-</v>
      </c>
    </row>
    <row r="73" spans="3:19">
      <c r="C73" s="4"/>
      <c r="H73" s="2">
        <v>71</v>
      </c>
      <c r="I73" s="46" t="s">
        <v>237</v>
      </c>
      <c r="J73" s="47"/>
      <c r="K73" s="47"/>
      <c r="Q73" s="44">
        <v>71</v>
      </c>
      <c r="R73" s="46" t="s">
        <v>384</v>
      </c>
      <c r="S73" s="47" t="str">
        <f ca="1">PE_FY0</f>
        <v>-</v>
      </c>
    </row>
    <row r="74" spans="3:19">
      <c r="C74" s="4"/>
      <c r="H74" s="2">
        <v>72</v>
      </c>
      <c r="I74" s="46" t="s">
        <v>238</v>
      </c>
      <c r="J74" s="47"/>
      <c r="K74" s="47"/>
      <c r="Q74" s="44">
        <v>72</v>
      </c>
      <c r="R74" s="46" t="s">
        <v>385</v>
      </c>
      <c r="S74" s="47" t="str">
        <f ca="1">PE_FY1</f>
        <v>-</v>
      </c>
    </row>
    <row r="75" spans="3:19">
      <c r="C75" s="4"/>
      <c r="H75" s="2">
        <v>73</v>
      </c>
      <c r="I75" s="46" t="s">
        <v>239</v>
      </c>
      <c r="J75" s="47"/>
      <c r="K75" s="47"/>
      <c r="Q75" s="44">
        <v>73</v>
      </c>
      <c r="R75" s="46" t="s">
        <v>386</v>
      </c>
      <c r="S75" s="47" t="str">
        <f ca="1">PE_FY2</f>
        <v>-</v>
      </c>
    </row>
    <row r="76" spans="3:19">
      <c r="C76" s="4"/>
      <c r="H76" s="2">
        <v>74</v>
      </c>
      <c r="I76" s="46" t="s">
        <v>240</v>
      </c>
      <c r="J76" s="47"/>
      <c r="K76" s="47"/>
      <c r="Q76" s="44">
        <v>74</v>
      </c>
      <c r="R76" s="46" t="s">
        <v>387</v>
      </c>
      <c r="S76" s="47" t="str">
        <f ca="1">PE_FY3</f>
        <v>-</v>
      </c>
    </row>
    <row r="77" spans="3:19">
      <c r="C77" s="4"/>
      <c r="H77" s="2">
        <v>75</v>
      </c>
      <c r="I77" s="46" t="s">
        <v>241</v>
      </c>
      <c r="J77" s="47"/>
      <c r="K77" s="47"/>
      <c r="Q77" s="44">
        <v>75</v>
      </c>
      <c r="R77" s="46" t="s">
        <v>388</v>
      </c>
      <c r="S77" s="47" t="str">
        <f ca="1">PE_FY4</f>
        <v>-</v>
      </c>
    </row>
    <row r="78" spans="3:19">
      <c r="C78" s="4"/>
      <c r="H78" s="2">
        <v>76</v>
      </c>
      <c r="I78" s="46" t="s">
        <v>242</v>
      </c>
      <c r="J78" s="47"/>
      <c r="K78" s="47"/>
      <c r="Q78" s="44">
        <v>76</v>
      </c>
      <c r="R78" s="46" t="s">
        <v>389</v>
      </c>
      <c r="S78" s="47" t="str">
        <f ca="1">PE_FY5</f>
        <v>-</v>
      </c>
    </row>
    <row r="79" spans="3:19">
      <c r="C79" s="4"/>
      <c r="H79" s="2">
        <v>77</v>
      </c>
      <c r="I79" s="46" t="s">
        <v>243</v>
      </c>
      <c r="J79" s="47"/>
      <c r="K79" s="47"/>
      <c r="Q79" s="44">
        <v>77</v>
      </c>
      <c r="R79" s="46" t="s">
        <v>390</v>
      </c>
      <c r="S79" s="47">
        <f ca="1">EPS_5YR_DISCOUNTED</f>
        <v>6.8253252460475826</v>
      </c>
    </row>
    <row r="80" spans="3:19">
      <c r="C80" s="4"/>
      <c r="H80" s="2">
        <v>78</v>
      </c>
      <c r="I80" s="46" t="s">
        <v>244</v>
      </c>
      <c r="J80" s="47"/>
      <c r="K80" s="47"/>
      <c r="Q80" s="44">
        <v>78</v>
      </c>
      <c r="R80" s="46" t="s">
        <v>391</v>
      </c>
      <c r="S80" s="47">
        <f ca="1">EPS_12M_FWD_VALUE</f>
        <v>7.1362567294786396</v>
      </c>
    </row>
    <row r="81" spans="3:19">
      <c r="C81" s="4"/>
      <c r="H81" s="2">
        <v>79</v>
      </c>
      <c r="I81" s="44" t="s">
        <v>245</v>
      </c>
      <c r="J81" s="10"/>
      <c r="K81" s="10"/>
      <c r="Q81" s="44">
        <v>79</v>
      </c>
      <c r="R81" s="44" t="s">
        <v>392</v>
      </c>
      <c r="S81" s="10">
        <f>TARGET_PE_MULTIPLE</f>
        <v>0</v>
      </c>
    </row>
    <row r="82" spans="3:19">
      <c r="C82" s="4"/>
      <c r="H82" s="2">
        <v>80</v>
      </c>
      <c r="I82" s="46" t="s">
        <v>246</v>
      </c>
      <c r="J82" s="47"/>
      <c r="K82" s="47"/>
      <c r="Q82" s="44">
        <v>80</v>
      </c>
      <c r="R82" s="46" t="s">
        <v>393</v>
      </c>
      <c r="S82" s="47">
        <f ca="1">EQUITY_12M_FWD_VALUE</f>
        <v>0</v>
      </c>
    </row>
    <row r="83" spans="3:19">
      <c r="C83" s="4"/>
      <c r="H83" s="2">
        <v>81</v>
      </c>
      <c r="I83" s="46" t="s">
        <v>247</v>
      </c>
      <c r="J83" s="47">
        <v>0</v>
      </c>
      <c r="K83" s="47"/>
      <c r="Q83" s="44">
        <v>81</v>
      </c>
      <c r="R83" s="46" t="s">
        <v>394</v>
      </c>
      <c r="S83" s="47" t="e">
        <f ca="1">DIVIDEND_12M_FWD_VALUE</f>
        <v>#NAME?</v>
      </c>
    </row>
    <row r="84" spans="3:19">
      <c r="C84" s="4"/>
      <c r="H84" s="2">
        <v>82</v>
      </c>
      <c r="I84" s="46" t="s">
        <v>248</v>
      </c>
      <c r="J84" s="47"/>
      <c r="K84" s="47"/>
      <c r="Q84" s="44">
        <v>82</v>
      </c>
      <c r="R84" s="46" t="s">
        <v>395</v>
      </c>
      <c r="S84" s="47" t="e">
        <f ca="1">BARINGS_12M_TARGET_SELL_PRICE</f>
        <v>#NAME?</v>
      </c>
    </row>
    <row r="85" spans="3:19">
      <c r="C85" s="4"/>
      <c r="H85" s="2">
        <v>83</v>
      </c>
      <c r="I85" s="46" t="s">
        <v>249</v>
      </c>
      <c r="J85" s="47"/>
      <c r="K85" s="47"/>
      <c r="Q85" s="44">
        <v>83</v>
      </c>
      <c r="R85" s="46" t="s">
        <v>396</v>
      </c>
      <c r="S85" s="47">
        <f>EPS_GRWTH_LAST_3YRS * 100</f>
        <v>26.154558269707053</v>
      </c>
    </row>
    <row r="86" spans="3:19">
      <c r="C86" s="4"/>
      <c r="H86" s="2">
        <v>84</v>
      </c>
      <c r="I86" s="46" t="s">
        <v>250</v>
      </c>
      <c r="J86" s="47"/>
      <c r="K86" s="47"/>
      <c r="Q86" s="44">
        <v>84</v>
      </c>
      <c r="R86" s="46" t="s">
        <v>397</v>
      </c>
      <c r="S86" s="47">
        <f>EPS_GRWTH_NEXT_12M * 100</f>
        <v>18.613935299391645</v>
      </c>
    </row>
    <row r="87" spans="3:19">
      <c r="C87" s="4"/>
      <c r="H87" s="2">
        <v>85</v>
      </c>
      <c r="I87" s="46" t="s">
        <v>251</v>
      </c>
      <c r="J87" s="47"/>
      <c r="K87" s="47"/>
      <c r="Q87" s="44">
        <v>85</v>
      </c>
      <c r="R87" s="46" t="s">
        <v>398</v>
      </c>
      <c r="S87" s="47">
        <f>EPS_GRWTH_CAGR_NEXT_5YRS * 100</f>
        <v>14.010559079021601</v>
      </c>
    </row>
    <row r="88" spans="3:19">
      <c r="C88" s="4"/>
      <c r="H88" s="2">
        <v>86</v>
      </c>
      <c r="I88" s="46" t="s">
        <v>252</v>
      </c>
      <c r="J88" s="47"/>
      <c r="K88" s="47"/>
      <c r="Q88" s="44">
        <v>86</v>
      </c>
      <c r="R88" s="46" t="s">
        <v>399</v>
      </c>
      <c r="S88" s="47">
        <f>DL_EPS_GRWTH_AVERAGE</f>
        <v>0</v>
      </c>
    </row>
    <row r="89" spans="3:19">
      <c r="C89" s="4"/>
      <c r="H89" s="2">
        <v>87</v>
      </c>
      <c r="I89" s="55" t="s">
        <v>253</v>
      </c>
      <c r="J89" s="10">
        <v>3.9251529999999999</v>
      </c>
      <c r="K89" s="10"/>
      <c r="Q89" s="44">
        <v>87</v>
      </c>
      <c r="R89" s="44" t="s">
        <v>400</v>
      </c>
      <c r="S89" s="10" t="e">
        <f ca="1">RFR_INFLATION * 100</f>
        <v>#VALUE!</v>
      </c>
    </row>
    <row r="90" spans="3:19">
      <c r="C90" s="4"/>
      <c r="H90" s="2">
        <v>88</v>
      </c>
      <c r="I90" s="55" t="s">
        <v>254</v>
      </c>
      <c r="J90" s="10">
        <v>4</v>
      </c>
      <c r="K90" s="10"/>
      <c r="Q90" s="44">
        <v>88</v>
      </c>
      <c r="R90" s="44" t="s">
        <v>401</v>
      </c>
      <c r="S90" s="10">
        <f ca="1">MRKT_RISK_PREM * 100</f>
        <v>4</v>
      </c>
    </row>
    <row r="91" spans="3:19">
      <c r="C91" s="4"/>
      <c r="H91" s="2">
        <v>89</v>
      </c>
      <c r="I91" s="44" t="s">
        <v>255</v>
      </c>
      <c r="J91" s="10"/>
      <c r="K91" s="10"/>
      <c r="Q91" s="44">
        <v>89</v>
      </c>
      <c r="R91" s="44" t="s">
        <v>402</v>
      </c>
      <c r="S91" s="10">
        <f>CMP_SPECIFIC * 100</f>
        <v>1</v>
      </c>
    </row>
    <row r="92" spans="3:19">
      <c r="C92" s="4"/>
      <c r="H92" s="2">
        <v>90</v>
      </c>
      <c r="I92" s="46" t="s">
        <v>256</v>
      </c>
      <c r="J92" s="47"/>
      <c r="K92" s="47"/>
      <c r="Q92" s="44">
        <v>90</v>
      </c>
      <c r="R92" s="46" t="s">
        <v>403</v>
      </c>
      <c r="S92" s="47">
        <f>ESG_IMPACT * 100</f>
        <v>-0.4444444444444442</v>
      </c>
    </row>
    <row r="93" spans="3:19">
      <c r="C93" s="4"/>
      <c r="H93" s="2">
        <v>91</v>
      </c>
      <c r="I93" s="46" t="s">
        <v>257</v>
      </c>
      <c r="J93" s="47">
        <v>7.9251529999999999</v>
      </c>
      <c r="K93" s="47"/>
      <c r="Q93" s="44">
        <v>91</v>
      </c>
      <c r="R93" s="46" t="s">
        <v>404</v>
      </c>
      <c r="S93" s="47">
        <f ca="1">BARINGS_DISCOUNT_RATE * 100</f>
        <v>4.5555555555555554</v>
      </c>
    </row>
    <row r="94" spans="3:19">
      <c r="C94" s="4"/>
      <c r="H94" s="2">
        <v>92</v>
      </c>
      <c r="I94" s="46" t="s">
        <v>258</v>
      </c>
      <c r="J94" s="47"/>
      <c r="K94" s="47"/>
      <c r="Q94" s="44">
        <v>92</v>
      </c>
      <c r="R94" s="46" t="s">
        <v>405</v>
      </c>
      <c r="S94" s="47" t="e">
        <f ca="1">UPSIDE_EARN_VALUE * 100</f>
        <v>#NAME?</v>
      </c>
    </row>
    <row r="95" spans="3:19">
      <c r="C95" s="4"/>
      <c r="H95" s="2">
        <v>93</v>
      </c>
      <c r="I95" s="44" t="s">
        <v>259</v>
      </c>
      <c r="J95" s="10"/>
      <c r="K95" s="10"/>
      <c r="Q95" s="44">
        <v>93</v>
      </c>
      <c r="R95" s="44" t="s">
        <v>406</v>
      </c>
      <c r="S95" s="10" t="e">
        <f>ROE_FY0 * 100</f>
        <v>#REF!</v>
      </c>
    </row>
    <row r="96" spans="3:19">
      <c r="C96" s="4"/>
      <c r="H96" s="2">
        <v>94</v>
      </c>
      <c r="I96" s="44" t="s">
        <v>260</v>
      </c>
      <c r="J96" s="10"/>
      <c r="K96" s="10"/>
      <c r="Q96" s="44">
        <v>94</v>
      </c>
      <c r="R96" s="44" t="s">
        <v>407</v>
      </c>
      <c r="S96" s="10">
        <f>LTIR * 100</f>
        <v>4</v>
      </c>
    </row>
    <row r="97" spans="3:19">
      <c r="C97" s="4"/>
      <c r="H97" s="2">
        <v>95</v>
      </c>
      <c r="I97" s="46" t="s">
        <v>261</v>
      </c>
      <c r="J97" s="47"/>
      <c r="K97" s="47"/>
      <c r="Q97" s="44">
        <v>95</v>
      </c>
      <c r="R97" s="46" t="s">
        <v>408</v>
      </c>
      <c r="S97" s="47" t="e">
        <f>BV_MULTI</f>
        <v>#REF!</v>
      </c>
    </row>
    <row r="98" spans="3:19">
      <c r="C98" s="4"/>
      <c r="H98" s="2">
        <v>96</v>
      </c>
      <c r="I98" s="44" t="s">
        <v>262</v>
      </c>
      <c r="J98" s="10">
        <v>44.303870000000003</v>
      </c>
      <c r="K98" s="10"/>
      <c r="Q98" s="44">
        <v>96</v>
      </c>
      <c r="R98" s="44" t="s">
        <v>534</v>
      </c>
      <c r="S98" s="10" t="e">
        <f>BV_PS</f>
        <v>#REF!</v>
      </c>
    </row>
    <row r="99" spans="3:19">
      <c r="C99" s="4"/>
      <c r="H99" s="2">
        <v>97</v>
      </c>
      <c r="I99" s="46" t="s">
        <v>263</v>
      </c>
      <c r="J99" s="47"/>
      <c r="K99" s="47"/>
      <c r="Q99" s="44">
        <v>97</v>
      </c>
      <c r="R99" s="46" t="s">
        <v>409</v>
      </c>
      <c r="S99" s="47" t="e">
        <f>TARGET_PRICE_STATIC_VALUE</f>
        <v>#REF!</v>
      </c>
    </row>
    <row r="100" spans="3:19">
      <c r="C100" s="4"/>
      <c r="H100" s="2">
        <v>98</v>
      </c>
      <c r="I100" s="46" t="s">
        <v>264</v>
      </c>
      <c r="J100" s="47"/>
      <c r="K100" s="47"/>
      <c r="Q100" s="44">
        <v>98</v>
      </c>
      <c r="R100" s="46" t="s">
        <v>410</v>
      </c>
      <c r="S100" s="47" t="e">
        <f ca="1">UPSIDE_STATIC_VALUE * 100</f>
        <v>#REF!</v>
      </c>
    </row>
    <row r="101" spans="3:19">
      <c r="C101" s="4"/>
      <c r="H101" s="2">
        <v>99</v>
      </c>
      <c r="I101" s="44" t="s">
        <v>265</v>
      </c>
      <c r="J101" s="10"/>
      <c r="K101" s="10"/>
      <c r="Q101" s="44">
        <v>99</v>
      </c>
      <c r="R101" s="44" t="s">
        <v>411</v>
      </c>
      <c r="S101" s="10" t="e">
        <f>ROIC_FY0 * 100</f>
        <v>#REF!</v>
      </c>
    </row>
    <row r="102" spans="3:19">
      <c r="C102" s="4"/>
      <c r="H102" s="2">
        <v>100</v>
      </c>
      <c r="I102" s="44" t="s">
        <v>266</v>
      </c>
      <c r="J102" s="10"/>
      <c r="K102" s="10"/>
      <c r="Q102" s="44">
        <v>100</v>
      </c>
      <c r="R102" s="44" t="s">
        <v>412</v>
      </c>
      <c r="S102" s="10">
        <f>WACC_FY0 * 100</f>
        <v>10.9</v>
      </c>
    </row>
    <row r="103" spans="3:19">
      <c r="C103" s="4"/>
      <c r="H103" s="2">
        <v>101</v>
      </c>
      <c r="I103" s="46" t="s">
        <v>267</v>
      </c>
      <c r="J103" s="47"/>
      <c r="K103" s="47"/>
      <c r="Q103" s="44">
        <v>101</v>
      </c>
      <c r="R103" s="46" t="s">
        <v>413</v>
      </c>
      <c r="S103" s="47" t="e">
        <f>ROICWACC_RATIO</f>
        <v>#REF!</v>
      </c>
    </row>
    <row r="104" spans="3:19">
      <c r="C104" s="4"/>
      <c r="H104" s="2">
        <v>102</v>
      </c>
      <c r="I104" s="46" t="s">
        <v>268</v>
      </c>
      <c r="J104" s="47"/>
      <c r="K104" s="47"/>
      <c r="Q104" s="44">
        <v>102</v>
      </c>
      <c r="R104" s="46" t="s">
        <v>414</v>
      </c>
      <c r="S104" s="47" t="str">
        <f ca="1">CMP_PE_FY1</f>
        <v>-</v>
      </c>
    </row>
    <row r="105" spans="3:19">
      <c r="C105" s="4"/>
      <c r="H105" s="2">
        <v>103</v>
      </c>
      <c r="I105" s="46" t="s">
        <v>269</v>
      </c>
      <c r="J105" s="47"/>
      <c r="K105" s="47"/>
      <c r="Q105" s="44">
        <v>103</v>
      </c>
      <c r="R105" s="46" t="s">
        <v>415</v>
      </c>
      <c r="S105" s="47" t="e">
        <f ca="1">CMP_PE_RELATIVE</f>
        <v>#VALUE!</v>
      </c>
    </row>
    <row r="106" spans="3:19">
      <c r="C106" s="4"/>
      <c r="H106" s="2">
        <v>104</v>
      </c>
      <c r="I106" s="44" t="s">
        <v>270</v>
      </c>
      <c r="J106" s="10"/>
      <c r="K106" s="10"/>
      <c r="Q106" s="44">
        <v>104</v>
      </c>
      <c r="R106" s="44" t="s">
        <v>416</v>
      </c>
      <c r="S106" s="10">
        <f>SECTOR_PE</f>
        <v>21</v>
      </c>
    </row>
    <row r="107" spans="3:19">
      <c r="C107" s="4"/>
      <c r="H107" s="2">
        <v>105</v>
      </c>
      <c r="I107" s="46" t="s">
        <v>271</v>
      </c>
      <c r="J107" s="47"/>
      <c r="K107" s="47"/>
      <c r="Q107" s="44">
        <v>105</v>
      </c>
      <c r="R107" s="44" t="s">
        <v>417</v>
      </c>
      <c r="S107" s="47">
        <f>TARGET_PRICE_SECTOR_VALUE</f>
        <v>107.26331948126804</v>
      </c>
    </row>
    <row r="108" spans="3:19">
      <c r="C108" s="4"/>
      <c r="H108" s="2">
        <v>106</v>
      </c>
      <c r="I108" s="46" t="s">
        <v>272</v>
      </c>
      <c r="J108" s="47"/>
      <c r="K108" s="47"/>
      <c r="Q108" s="44">
        <v>106</v>
      </c>
      <c r="R108" s="44" t="s">
        <v>418</v>
      </c>
      <c r="S108" s="47" t="e">
        <f ca="1">UPSIDE_SECTOR_VALUE * 100</f>
        <v>#NAME?</v>
      </c>
    </row>
    <row r="109" spans="3:19">
      <c r="C109" s="4"/>
      <c r="H109" s="2">
        <v>107</v>
      </c>
      <c r="I109" s="54" t="s">
        <v>273</v>
      </c>
      <c r="J109" s="10"/>
      <c r="K109" s="10"/>
      <c r="Q109" s="44">
        <v>107</v>
      </c>
      <c r="R109" s="44" t="s">
        <v>419</v>
      </c>
      <c r="S109" s="10">
        <f>QLTY_FRCHS_SUBSCORE</f>
        <v>2</v>
      </c>
    </row>
    <row r="110" spans="3:19">
      <c r="C110" s="4"/>
      <c r="H110" s="2">
        <v>108</v>
      </c>
      <c r="I110" s="54" t="s">
        <v>274</v>
      </c>
      <c r="J110" s="10"/>
      <c r="K110" s="10"/>
      <c r="Q110" s="44">
        <v>108</v>
      </c>
      <c r="R110" s="44" t="s">
        <v>420</v>
      </c>
      <c r="S110" s="10">
        <f>QLTY_MGMT_SUBSCORE</f>
        <v>1</v>
      </c>
    </row>
    <row r="111" spans="3:19">
      <c r="C111" s="4"/>
      <c r="H111" s="2">
        <v>109</v>
      </c>
      <c r="I111" s="54" t="s">
        <v>275</v>
      </c>
      <c r="J111" s="10"/>
      <c r="K111" s="10"/>
      <c r="Q111" s="44">
        <v>109</v>
      </c>
      <c r="R111" s="44" t="s">
        <v>421</v>
      </c>
      <c r="S111" s="10">
        <f>QLTY_BS_SUBSCORE</f>
        <v>2.5</v>
      </c>
    </row>
    <row r="112" spans="3:19">
      <c r="C112" s="4"/>
      <c r="H112" s="2">
        <v>110</v>
      </c>
      <c r="I112" s="56" t="s">
        <v>276</v>
      </c>
      <c r="J112" s="47"/>
      <c r="K112" s="47"/>
      <c r="Q112" s="44">
        <v>110</v>
      </c>
      <c r="R112" s="46" t="s">
        <v>422</v>
      </c>
      <c r="S112" s="47">
        <f>QLTY_OVERALL_SCORE</f>
        <v>1.8333333333333333</v>
      </c>
    </row>
    <row r="113" spans="3:19">
      <c r="C113" s="4"/>
      <c r="H113" s="2">
        <v>111</v>
      </c>
      <c r="I113" s="54" t="s">
        <v>277</v>
      </c>
      <c r="J113" s="10"/>
      <c r="K113" s="10"/>
      <c r="Q113" s="44">
        <v>111</v>
      </c>
      <c r="R113" s="44" t="s">
        <v>423</v>
      </c>
      <c r="S113" s="10">
        <f>GRWTH_LAST_3YRS_SUBSCORE</f>
        <v>1</v>
      </c>
    </row>
    <row r="114" spans="3:19">
      <c r="C114" s="4"/>
      <c r="H114" s="2">
        <v>112</v>
      </c>
      <c r="I114" s="54" t="s">
        <v>278</v>
      </c>
      <c r="J114" s="10"/>
      <c r="K114" s="10"/>
      <c r="Q114" s="44">
        <v>112</v>
      </c>
      <c r="R114" s="44" t="s">
        <v>424</v>
      </c>
      <c r="S114" s="10">
        <f>GRWTH_NEXT_12M_SUBSCORE</f>
        <v>3</v>
      </c>
    </row>
    <row r="115" spans="3:19">
      <c r="C115" s="4"/>
      <c r="H115" s="2">
        <v>113</v>
      </c>
      <c r="I115" s="54" t="s">
        <v>279</v>
      </c>
      <c r="J115" s="10"/>
      <c r="K115" s="10"/>
      <c r="Q115" s="44">
        <v>113</v>
      </c>
      <c r="R115" s="44" t="s">
        <v>425</v>
      </c>
      <c r="S115" s="10">
        <f>GRWTH_CAGR_NEXT_5YRS_SUBSCORE</f>
        <v>3</v>
      </c>
    </row>
    <row r="116" spans="3:19">
      <c r="C116" s="4"/>
      <c r="H116" s="2">
        <v>114</v>
      </c>
      <c r="I116" s="56" t="s">
        <v>280</v>
      </c>
      <c r="J116" s="47"/>
      <c r="K116" s="47"/>
      <c r="Q116" s="44">
        <v>114</v>
      </c>
      <c r="R116" s="46" t="s">
        <v>426</v>
      </c>
      <c r="S116" s="47">
        <f>GRWTH_OVERALL_SCORE</f>
        <v>2.3333333333333335</v>
      </c>
    </row>
    <row r="117" spans="3:19">
      <c r="C117" s="4"/>
      <c r="H117" s="2">
        <v>115</v>
      </c>
      <c r="I117" s="54" t="s">
        <v>281</v>
      </c>
      <c r="J117" s="10"/>
      <c r="K117" s="10"/>
      <c r="Q117" s="44">
        <v>115</v>
      </c>
      <c r="R117" s="44" t="s">
        <v>427</v>
      </c>
      <c r="S117" s="10">
        <f>VAL_MRKT_MEASURE_SUBSCORE</f>
        <v>50</v>
      </c>
    </row>
    <row r="118" spans="3:19">
      <c r="C118" s="4"/>
      <c r="H118" s="2">
        <v>116</v>
      </c>
      <c r="I118" s="54" t="s">
        <v>282</v>
      </c>
      <c r="J118" s="10"/>
      <c r="K118" s="10"/>
      <c r="Q118" s="44">
        <v>116</v>
      </c>
      <c r="R118" s="44" t="s">
        <v>428</v>
      </c>
      <c r="S118" s="10">
        <f>VAL_STATIC_MEASURE_SUBSCORE</f>
        <v>3</v>
      </c>
    </row>
    <row r="119" spans="3:19">
      <c r="C119" s="4"/>
      <c r="H119" s="2">
        <v>117</v>
      </c>
      <c r="I119" s="54" t="s">
        <v>283</v>
      </c>
      <c r="J119" s="10"/>
      <c r="K119" s="10"/>
      <c r="Q119" s="44">
        <v>117</v>
      </c>
      <c r="R119" s="44" t="s">
        <v>429</v>
      </c>
      <c r="S119" s="10">
        <f>VAL_DISC_EARNING_SUBSCORE</f>
        <v>3</v>
      </c>
    </row>
    <row r="120" spans="3:19">
      <c r="C120" s="4"/>
      <c r="H120" s="2">
        <v>118</v>
      </c>
      <c r="I120" s="56" t="s">
        <v>284</v>
      </c>
      <c r="J120" s="47"/>
      <c r="K120" s="47"/>
      <c r="Q120" s="44">
        <v>118</v>
      </c>
      <c r="R120" s="46" t="s">
        <v>430</v>
      </c>
      <c r="S120" s="47">
        <f>VAL_OVERALL_SCORE</f>
        <v>18.666666666666668</v>
      </c>
    </row>
    <row r="121" spans="3:19">
      <c r="C121" s="4"/>
      <c r="H121" s="2">
        <v>119</v>
      </c>
      <c r="I121" s="54" t="s">
        <v>285</v>
      </c>
      <c r="J121" s="12">
        <v>0</v>
      </c>
      <c r="K121" s="12"/>
      <c r="Q121" s="44">
        <v>119</v>
      </c>
      <c r="R121" s="44" t="s">
        <v>431</v>
      </c>
      <c r="S121" s="12">
        <f>ESG_KEY_ISSUE_1</f>
        <v>4</v>
      </c>
    </row>
    <row r="122" spans="3:19">
      <c r="C122" s="4"/>
      <c r="H122" s="2">
        <v>120</v>
      </c>
      <c r="I122" s="54" t="s">
        <v>286</v>
      </c>
      <c r="J122" s="12">
        <v>0</v>
      </c>
      <c r="K122" s="12"/>
      <c r="Q122" s="44">
        <v>120</v>
      </c>
      <c r="R122" s="44" t="s">
        <v>432</v>
      </c>
      <c r="S122" s="12">
        <f>ESG_KEY_ISSUE_2</f>
        <v>4</v>
      </c>
    </row>
    <row r="123" spans="3:19">
      <c r="C123" s="4"/>
      <c r="H123" s="2">
        <v>121</v>
      </c>
      <c r="I123" s="54" t="s">
        <v>287</v>
      </c>
      <c r="J123" s="12">
        <v>0</v>
      </c>
      <c r="K123" s="12"/>
      <c r="Q123" s="44">
        <v>121</v>
      </c>
      <c r="R123" s="44" t="s">
        <v>433</v>
      </c>
      <c r="S123" s="12">
        <f>ESG_KEY_ISSUE_3</f>
        <v>2</v>
      </c>
    </row>
    <row r="124" spans="3:19">
      <c r="C124" s="4"/>
      <c r="H124" s="2">
        <v>122</v>
      </c>
      <c r="I124" s="54" t="s">
        <v>288</v>
      </c>
      <c r="J124" s="12">
        <v>0</v>
      </c>
      <c r="K124" s="12"/>
      <c r="Q124" s="44">
        <v>122</v>
      </c>
      <c r="R124" s="44" t="s">
        <v>434</v>
      </c>
      <c r="S124" s="12">
        <f>ESG_KEY_ISSUE_4</f>
        <v>1</v>
      </c>
    </row>
    <row r="125" spans="3:19">
      <c r="C125" s="4"/>
      <c r="H125" s="2">
        <v>123</v>
      </c>
      <c r="I125" s="54" t="s">
        <v>289</v>
      </c>
      <c r="J125" s="12">
        <v>0</v>
      </c>
      <c r="K125" s="12"/>
      <c r="Q125" s="44">
        <v>123</v>
      </c>
      <c r="R125" s="44" t="s">
        <v>435</v>
      </c>
      <c r="S125" s="12">
        <f>ESG_KEY_ISSUE_5</f>
        <v>4</v>
      </c>
    </row>
    <row r="126" spans="3:19">
      <c r="C126" s="4"/>
      <c r="H126" s="2">
        <v>124</v>
      </c>
      <c r="I126" s="54" t="s">
        <v>290</v>
      </c>
      <c r="J126" s="12">
        <v>0</v>
      </c>
      <c r="K126" s="12"/>
      <c r="Q126" s="44">
        <v>124</v>
      </c>
      <c r="R126" s="44" t="s">
        <v>436</v>
      </c>
      <c r="S126" s="12">
        <f>ESG_KEY_ISSUE_6</f>
        <v>4</v>
      </c>
    </row>
    <row r="127" spans="3:19">
      <c r="C127" s="4"/>
      <c r="H127" s="2">
        <v>125</v>
      </c>
      <c r="I127" s="54" t="s">
        <v>291</v>
      </c>
      <c r="J127" s="12">
        <v>0</v>
      </c>
      <c r="K127" s="12"/>
      <c r="Q127" s="44">
        <v>125</v>
      </c>
      <c r="R127" s="44" t="s">
        <v>437</v>
      </c>
      <c r="S127" s="12">
        <f>ESG_KEY_ISSUE_7</f>
        <v>4</v>
      </c>
    </row>
    <row r="128" spans="3:19">
      <c r="C128" s="4"/>
      <c r="H128" s="2">
        <v>126</v>
      </c>
      <c r="I128" s="54" t="s">
        <v>292</v>
      </c>
      <c r="J128" s="12">
        <v>0</v>
      </c>
      <c r="K128" s="12"/>
      <c r="Q128" s="44">
        <v>126</v>
      </c>
      <c r="R128" s="44" t="s">
        <v>438</v>
      </c>
      <c r="S128" s="12">
        <f>ESG_KEY_ISSUE_8</f>
        <v>4</v>
      </c>
    </row>
    <row r="129" spans="3:19">
      <c r="C129" s="4"/>
      <c r="H129" s="2">
        <v>127</v>
      </c>
      <c r="I129" s="54" t="s">
        <v>293</v>
      </c>
      <c r="J129" s="12">
        <v>0</v>
      </c>
      <c r="K129" s="12"/>
      <c r="Q129" s="44">
        <v>127</v>
      </c>
      <c r="R129" s="44" t="s">
        <v>439</v>
      </c>
      <c r="S129" s="12">
        <f>ESG_KEY_ISSUE_9</f>
        <v>4</v>
      </c>
    </row>
    <row r="130" spans="3:19">
      <c r="C130" s="4"/>
      <c r="H130" s="2">
        <v>128</v>
      </c>
      <c r="I130" s="54" t="s">
        <v>294</v>
      </c>
      <c r="J130" s="12" t="b">
        <v>1</v>
      </c>
      <c r="K130" s="12"/>
      <c r="Q130" s="44">
        <v>128</v>
      </c>
      <c r="R130" s="44" t="s">
        <v>440</v>
      </c>
      <c r="S130" s="12">
        <f>IF(DL_SUITABLE_DM=TRUE,1,IF(DL_SUITABLE_DM=FALSE,0,IF(DL_SUITABLE_DM=0,0,1)))</f>
        <v>1</v>
      </c>
    </row>
    <row r="131" spans="3:19">
      <c r="C131" s="4"/>
      <c r="H131" s="2">
        <v>129</v>
      </c>
      <c r="I131" s="54" t="s">
        <v>295</v>
      </c>
      <c r="J131" s="12">
        <v>0</v>
      </c>
      <c r="K131" s="12"/>
      <c r="Q131" s="44">
        <v>129</v>
      </c>
      <c r="R131" s="44" t="s">
        <v>441</v>
      </c>
      <c r="S131" s="12">
        <f>IF(DL_SUITABLE_EM=TRUE,1,IF(DL_SUITABLE_EM=FALSE,0,IF(DL_SUITABLE_EM=0,0,1)))</f>
        <v>0</v>
      </c>
    </row>
    <row r="132" spans="3:19">
      <c r="C132" s="4"/>
      <c r="H132" s="2">
        <v>130</v>
      </c>
      <c r="I132" s="54" t="s">
        <v>296</v>
      </c>
      <c r="J132" s="12">
        <v>0</v>
      </c>
      <c r="K132" s="12"/>
      <c r="Q132" s="44">
        <v>130</v>
      </c>
      <c r="R132" s="44" t="s">
        <v>442</v>
      </c>
      <c r="S132" s="12">
        <f>IF(DL_SUITABLE_ASIA=TRUE,1,IF(DL_SUITABLE_ASIA=FALSE,0,IF(DL_SUITABLE_ASIA=0,0,1)))</f>
        <v>0</v>
      </c>
    </row>
    <row r="133" spans="3:19">
      <c r="C133" s="4"/>
      <c r="H133" s="2">
        <v>131</v>
      </c>
      <c r="I133" s="54" t="s">
        <v>297</v>
      </c>
      <c r="J133" s="12">
        <v>0</v>
      </c>
      <c r="K133" s="12"/>
      <c r="Q133" s="44">
        <v>131</v>
      </c>
      <c r="R133" s="44" t="s">
        <v>443</v>
      </c>
      <c r="S133" s="12">
        <f>IF(DL_SUITABLE_CHINA=TRUE,1,IF(DL_SUITABLE_CHINA=FALSE,0,IF(DL_SUITABLE_CHINA=0,0,1)))</f>
        <v>0</v>
      </c>
    </row>
    <row r="134" spans="3:19">
      <c r="C134" s="4"/>
      <c r="H134" s="2">
        <v>132</v>
      </c>
      <c r="I134" s="44" t="s">
        <v>298</v>
      </c>
      <c r="J134" s="12">
        <v>0</v>
      </c>
      <c r="K134" s="12"/>
      <c r="Q134" s="44">
        <v>132</v>
      </c>
      <c r="R134" s="44" t="s">
        <v>444</v>
      </c>
      <c r="S134" s="12">
        <f>IF(DL_APPLICABLE_FOR_VALUATION_MODEL=TRUE,1,IF(DL_APPLICABLE_FOR_VALUATION_MODEL=FALSE,0,IF(DL_APPLICABLE_FOR_VALUATION_MODEL=0,0,1)))</f>
        <v>0</v>
      </c>
    </row>
    <row r="135" spans="3:19">
      <c r="C135" s="4"/>
      <c r="H135" s="2">
        <v>133</v>
      </c>
      <c r="I135" s="44" t="s">
        <v>299</v>
      </c>
      <c r="J135" s="12">
        <v>0</v>
      </c>
      <c r="K135" s="12"/>
      <c r="Q135" s="44">
        <v>133</v>
      </c>
      <c r="R135" s="44" t="s">
        <v>445</v>
      </c>
      <c r="S135" s="12">
        <f>IF(DL_APPLICABLE_FOR_LIGHT_COVERAGE=TRUE,1,IF(DL_APPLICABLE_FOR_LIGHT_COVERAGE=FALSE,0,IF(DL_APPLICABLE_FOR_LIGHT_COVERAGE=0,0,1)))</f>
        <v>0</v>
      </c>
    </row>
    <row r="136" spans="3:19">
      <c r="C136" s="4"/>
      <c r="H136" s="2">
        <v>134</v>
      </c>
      <c r="I136" s="44" t="s">
        <v>300</v>
      </c>
      <c r="J136" s="12">
        <v>0</v>
      </c>
      <c r="K136" s="12"/>
      <c r="Q136" s="44">
        <v>134</v>
      </c>
      <c r="R136" s="44" t="s">
        <v>446</v>
      </c>
      <c r="S136" s="12">
        <f>IF(DL_PART_OF_ANALYST_PLAYBOOK=TRUE,1,IF(DL_PART_OF_ANALYST_PLAYBOOK=FALSE,0,IF(DL_PART_OF_ANALYST_PLAYBOOK=0,0,1)))</f>
        <v>0</v>
      </c>
    </row>
    <row r="137" spans="3:19">
      <c r="C137" s="4"/>
      <c r="H137" s="2">
        <v>135</v>
      </c>
      <c r="I137" s="44" t="s">
        <v>301</v>
      </c>
      <c r="J137" s="49">
        <v>43622.444398148102</v>
      </c>
      <c r="K137" s="49"/>
      <c r="Q137" s="44">
        <v>135</v>
      </c>
      <c r="R137" s="44" t="s">
        <v>447</v>
      </c>
      <c r="S137" s="49">
        <v>43686.639359293978</v>
      </c>
    </row>
    <row r="138" spans="3:19">
      <c r="C138" s="4"/>
      <c r="H138" s="2">
        <v>136</v>
      </c>
      <c r="I138" s="44" t="s">
        <v>302</v>
      </c>
      <c r="J138" s="49"/>
      <c r="K138" s="49"/>
      <c r="Q138" s="44">
        <v>136</v>
      </c>
      <c r="R138" s="44" t="s">
        <v>448</v>
      </c>
      <c r="S138" s="49"/>
    </row>
    <row r="139" spans="3:19">
      <c r="C139" s="4"/>
      <c r="H139" s="2">
        <v>137</v>
      </c>
      <c r="I139" s="44" t="s">
        <v>303</v>
      </c>
      <c r="J139" s="49">
        <v>43465</v>
      </c>
      <c r="K139" s="49"/>
      <c r="Q139" s="44">
        <v>137</v>
      </c>
      <c r="R139" s="44" t="s">
        <v>449</v>
      </c>
      <c r="S139" s="49">
        <f>FISCAL_YEAR_END</f>
        <v>43465</v>
      </c>
    </row>
    <row r="140" spans="3:19">
      <c r="C140" s="4"/>
      <c r="H140" s="2">
        <v>138</v>
      </c>
      <c r="I140" s="44" t="s">
        <v>304</v>
      </c>
      <c r="J140" s="50">
        <v>42369</v>
      </c>
      <c r="K140" s="50"/>
      <c r="Q140" s="44">
        <v>138</v>
      </c>
      <c r="R140" s="44" t="s">
        <v>450</v>
      </c>
      <c r="S140" s="50">
        <f>THREE_YEARS_AGO_DATE</f>
        <v>42369</v>
      </c>
    </row>
    <row r="141" spans="3:19">
      <c r="C141" s="4"/>
      <c r="H141" s="2">
        <v>139</v>
      </c>
      <c r="I141" s="44" t="s">
        <v>305</v>
      </c>
      <c r="J141" s="50">
        <v>42735</v>
      </c>
      <c r="K141" s="50"/>
      <c r="Q141" s="44">
        <v>139</v>
      </c>
      <c r="R141" s="44" t="s">
        <v>451</v>
      </c>
      <c r="S141" s="50">
        <f>TWO_YEARS_AGO_DATE</f>
        <v>42735</v>
      </c>
    </row>
    <row r="142" spans="3:19">
      <c r="C142" s="4"/>
      <c r="H142" s="2">
        <v>140</v>
      </c>
      <c r="I142" s="44" t="s">
        <v>306</v>
      </c>
      <c r="J142" s="50">
        <v>43100</v>
      </c>
      <c r="K142" s="50"/>
      <c r="Q142" s="44">
        <v>140</v>
      </c>
      <c r="R142" s="44" t="s">
        <v>452</v>
      </c>
      <c r="S142" s="50">
        <f>ONE_YEAR_AGO_DATE</f>
        <v>43100</v>
      </c>
    </row>
    <row r="143" spans="3:19">
      <c r="C143" s="4"/>
      <c r="H143" s="2">
        <v>141</v>
      </c>
      <c r="I143" s="44" t="s">
        <v>307</v>
      </c>
      <c r="J143" s="50">
        <v>43465</v>
      </c>
      <c r="K143" s="50"/>
      <c r="Q143" s="44">
        <v>141</v>
      </c>
      <c r="R143" s="44" t="s">
        <v>453</v>
      </c>
      <c r="S143" s="50">
        <f>FY0_DATE</f>
        <v>43465</v>
      </c>
    </row>
    <row r="144" spans="3:19">
      <c r="C144" s="4"/>
      <c r="H144" s="2">
        <v>142</v>
      </c>
      <c r="I144" s="44" t="s">
        <v>308</v>
      </c>
      <c r="J144" s="50">
        <v>43830</v>
      </c>
      <c r="K144" s="50"/>
      <c r="Q144" s="44">
        <v>142</v>
      </c>
      <c r="R144" s="44" t="s">
        <v>454</v>
      </c>
      <c r="S144" s="50">
        <f>EDATE(FY0_DATE,12)</f>
        <v>43830</v>
      </c>
    </row>
    <row r="145" spans="3:19">
      <c r="C145" s="4"/>
      <c r="H145" s="2">
        <v>143</v>
      </c>
      <c r="I145" s="44" t="s">
        <v>309</v>
      </c>
      <c r="J145" s="50">
        <v>44196</v>
      </c>
      <c r="K145" s="50"/>
      <c r="Q145" s="44">
        <v>143</v>
      </c>
      <c r="R145" s="44" t="s">
        <v>455</v>
      </c>
      <c r="S145" s="50">
        <f>EDATE(FY0_DATE,24)</f>
        <v>44196</v>
      </c>
    </row>
    <row r="146" spans="3:19">
      <c r="C146" s="4"/>
      <c r="H146" s="2">
        <v>144</v>
      </c>
      <c r="I146" s="44" t="s">
        <v>310</v>
      </c>
      <c r="J146" s="50">
        <v>44561</v>
      </c>
      <c r="K146" s="50"/>
      <c r="Q146" s="44">
        <v>144</v>
      </c>
      <c r="R146" s="44" t="s">
        <v>456</v>
      </c>
      <c r="S146" s="50">
        <f>EDATE(FY0_DATE,36)</f>
        <v>44561</v>
      </c>
    </row>
    <row r="147" spans="3:19">
      <c r="C147" s="4"/>
      <c r="H147" s="2">
        <v>145</v>
      </c>
      <c r="I147" s="44" t="s">
        <v>311</v>
      </c>
      <c r="J147" s="50">
        <v>44926</v>
      </c>
      <c r="K147" s="50"/>
      <c r="Q147" s="44">
        <v>145</v>
      </c>
      <c r="R147" s="44" t="s">
        <v>457</v>
      </c>
      <c r="S147" s="50">
        <f>EDATE(FY0_DATE,48)</f>
        <v>44926</v>
      </c>
    </row>
    <row r="148" spans="3:19">
      <c r="C148" s="4"/>
      <c r="H148" s="2">
        <v>146</v>
      </c>
      <c r="I148" s="44" t="s">
        <v>312</v>
      </c>
      <c r="J148" s="50">
        <v>45291</v>
      </c>
      <c r="K148" s="50"/>
      <c r="Q148" s="44">
        <v>146</v>
      </c>
      <c r="R148" s="44" t="s">
        <v>486</v>
      </c>
      <c r="S148" s="50">
        <f>EDATE(FY0_DATE,60)</f>
        <v>45291</v>
      </c>
    </row>
    <row r="149" spans="3:19">
      <c r="C149" s="4"/>
      <c r="H149" s="1">
        <v>147</v>
      </c>
      <c r="I149" s="60" t="s">
        <v>543</v>
      </c>
      <c r="J149" s="52"/>
      <c r="Q149" s="1">
        <v>147</v>
      </c>
      <c r="R149" s="60" t="s">
        <v>545</v>
      </c>
      <c r="S149" s="62" t="e">
        <f ca="1">SELL_TARGET_REPORTING_CCY</f>
        <v>#NAME?</v>
      </c>
    </row>
    <row r="150" spans="3:19">
      <c r="C150" s="4"/>
      <c r="H150" s="1">
        <v>148</v>
      </c>
      <c r="I150" s="60" t="s">
        <v>544</v>
      </c>
      <c r="J150" s="52"/>
      <c r="Q150" s="1">
        <v>148</v>
      </c>
      <c r="R150" s="60" t="s">
        <v>546</v>
      </c>
      <c r="S150" s="62" t="e">
        <f ca="1">TARGET_PRICE_UPSIDE_REPORTING_CCY * 100</f>
        <v>#NAME?</v>
      </c>
    </row>
    <row r="151" spans="3:19">
      <c r="C151" s="4"/>
      <c r="H151" s="2">
        <v>149</v>
      </c>
      <c r="I151" s="61" t="s">
        <v>556</v>
      </c>
      <c r="J151" s="52">
        <v>102.15</v>
      </c>
      <c r="Q151" s="1">
        <v>149</v>
      </c>
      <c r="R151" s="61" t="s">
        <v>558</v>
      </c>
      <c r="S151" s="62" t="e">
        <f ca="1">PRICE_IN_REPORTING_CCY</f>
        <v>#NAME?</v>
      </c>
    </row>
    <row r="152" spans="3:19">
      <c r="C152" s="4"/>
      <c r="H152" s="2">
        <v>150</v>
      </c>
      <c r="I152" s="61" t="s">
        <v>557</v>
      </c>
      <c r="J152" s="52">
        <v>1</v>
      </c>
      <c r="Q152" s="1">
        <v>150</v>
      </c>
      <c r="R152" s="61" t="s">
        <v>559</v>
      </c>
      <c r="S152" s="62" t="e">
        <f ca="1">XRATE_ON_PRICE_DATE_FROM_PRICE_TO_REPORT_CCY</f>
        <v>#NAME?</v>
      </c>
    </row>
    <row r="153" spans="3:19">
      <c r="C153" s="4"/>
      <c r="H153" s="2">
        <v>151</v>
      </c>
      <c r="I153" s="3" t="s">
        <v>566</v>
      </c>
      <c r="J153" s="52"/>
      <c r="Q153" s="44">
        <v>151</v>
      </c>
      <c r="R153" s="3" t="s">
        <v>568</v>
      </c>
      <c r="S153" s="66">
        <f>EPS_FY1</f>
        <v>5.1077771181556209</v>
      </c>
    </row>
    <row r="154" spans="3:19">
      <c r="C154" s="4"/>
      <c r="H154" s="2">
        <v>152</v>
      </c>
      <c r="I154" s="3" t="s">
        <v>567</v>
      </c>
      <c r="J154" s="52"/>
      <c r="Q154" s="44">
        <v>152</v>
      </c>
      <c r="R154" s="3" t="s">
        <v>594</v>
      </c>
      <c r="S154" s="66">
        <f>EPS_FY2</f>
        <v>7.0467298877545161</v>
      </c>
    </row>
    <row r="155" spans="3:19">
      <c r="C155" s="4"/>
      <c r="H155" s="2">
        <v>153</v>
      </c>
      <c r="I155" s="3" t="s">
        <v>581</v>
      </c>
      <c r="Q155" s="44">
        <v>153</v>
      </c>
      <c r="R155" s="3" t="s">
        <v>584</v>
      </c>
      <c r="S155" s="65" t="e">
        <f ca="1">XD_DATE</f>
        <v>#NAME?</v>
      </c>
    </row>
    <row r="156" spans="3:19">
      <c r="C156" s="4"/>
      <c r="H156" s="2">
        <v>154</v>
      </c>
      <c r="I156" s="3" t="s">
        <v>582</v>
      </c>
      <c r="Q156" s="44">
        <v>154</v>
      </c>
      <c r="R156" s="3" t="s">
        <v>585</v>
      </c>
      <c r="S156" s="66" t="e">
        <f ca="1">LATEST_DIV</f>
        <v>#NAME?</v>
      </c>
    </row>
    <row r="157" spans="3:19">
      <c r="C157" s="4"/>
      <c r="H157" s="2">
        <v>155</v>
      </c>
      <c r="I157" s="3" t="s">
        <v>583</v>
      </c>
      <c r="Q157" s="44">
        <v>155</v>
      </c>
      <c r="R157" s="3" t="s">
        <v>586</v>
      </c>
      <c r="S157" s="67" t="e">
        <f ca="1">DIV_FREQ</f>
        <v>#NAME?</v>
      </c>
    </row>
    <row r="158" spans="3:19">
      <c r="C158" s="4"/>
      <c r="H158" s="2">
        <v>156</v>
      </c>
      <c r="I158" s="3" t="s">
        <v>592</v>
      </c>
      <c r="Q158" s="44">
        <v>156</v>
      </c>
      <c r="R158" s="44" t="s">
        <v>593</v>
      </c>
      <c r="S158" s="65" t="e">
        <f ca="1">XD_DATE_PREV</f>
        <v>#NAME?</v>
      </c>
    </row>
    <row r="159" spans="3:19">
      <c r="C159" s="4"/>
    </row>
    <row r="160" spans="3:19">
      <c r="C160" s="4"/>
    </row>
    <row r="161" spans="3:3">
      <c r="C161" s="4"/>
    </row>
    <row r="162" spans="3:3">
      <c r="C162" s="4"/>
    </row>
    <row r="163" spans="3:3">
      <c r="C163" s="4"/>
    </row>
    <row r="164" spans="3:3">
      <c r="C164" s="4"/>
    </row>
    <row r="165" spans="3:3">
      <c r="C165" s="4"/>
    </row>
    <row r="166" spans="3:3">
      <c r="C166" s="4"/>
    </row>
    <row r="167" spans="3:3">
      <c r="C167" s="4"/>
    </row>
    <row r="168" spans="3:3">
      <c r="C168" s="4"/>
    </row>
    <row r="169" spans="3:3">
      <c r="C169" s="4"/>
    </row>
    <row r="170" spans="3:3">
      <c r="C170" s="4"/>
    </row>
    <row r="171" spans="3:3">
      <c r="C171" s="4"/>
    </row>
    <row r="172" spans="3:3">
      <c r="C172" s="4"/>
    </row>
    <row r="173" spans="3:3">
      <c r="C173" s="4"/>
    </row>
    <row r="174" spans="3:3">
      <c r="C174" s="4"/>
    </row>
    <row r="175" spans="3:3">
      <c r="C175" s="4"/>
    </row>
    <row r="176" spans="3:3">
      <c r="C176" s="4"/>
    </row>
    <row r="177" spans="3:3">
      <c r="C177" s="4"/>
    </row>
    <row r="336" spans="3:3">
      <c r="C336" s="4"/>
    </row>
    <row r="338" spans="3:4">
      <c r="C338" s="4"/>
      <c r="D338" s="4"/>
    </row>
    <row r="339" spans="3:4">
      <c r="C339" s="4"/>
      <c r="D339" s="4"/>
    </row>
    <row r="340" spans="3:4">
      <c r="C340" s="4"/>
      <c r="D340" s="4"/>
    </row>
    <row r="341" spans="3:4">
      <c r="C341" s="4"/>
      <c r="D341" s="4"/>
    </row>
    <row r="342" spans="3:4">
      <c r="C342" s="4"/>
      <c r="D342" s="4"/>
    </row>
    <row r="343" spans="3:4">
      <c r="C343" s="4"/>
      <c r="D343" s="4"/>
    </row>
    <row r="344" spans="3:4">
      <c r="C344" s="4"/>
      <c r="D344" s="4"/>
    </row>
    <row r="345" spans="3:4">
      <c r="C345" s="4"/>
      <c r="D345" s="4"/>
    </row>
    <row r="346" spans="3:4">
      <c r="C346" s="4"/>
      <c r="D346" s="4"/>
    </row>
    <row r="347" spans="3:4">
      <c r="C347" s="4"/>
      <c r="D347" s="4"/>
    </row>
    <row r="348" spans="3:4">
      <c r="C348" s="4"/>
      <c r="D348" s="4"/>
    </row>
    <row r="349" spans="3:4">
      <c r="C349" s="4"/>
      <c r="D349" s="4"/>
    </row>
    <row r="350" spans="3:4">
      <c r="C350" s="4"/>
      <c r="D350" s="4"/>
    </row>
    <row r="351" spans="3:4">
      <c r="C351" s="4"/>
      <c r="D351" s="4"/>
    </row>
    <row r="352" spans="3:4">
      <c r="C352" s="4"/>
      <c r="D352" s="4"/>
    </row>
    <row r="353" spans="3:4">
      <c r="C353" s="4"/>
      <c r="D353" s="4"/>
    </row>
    <row r="354" spans="3:4">
      <c r="C354" s="4"/>
      <c r="D354" s="4"/>
    </row>
    <row r="355" spans="3:4">
      <c r="C355" s="4"/>
      <c r="D355" s="4"/>
    </row>
    <row r="356" spans="3:4">
      <c r="C356" s="4"/>
      <c r="D356" s="4"/>
    </row>
    <row r="357" spans="3:4">
      <c r="C357" s="4"/>
      <c r="D357" s="4"/>
    </row>
    <row r="358" spans="3:4">
      <c r="C358" s="4"/>
      <c r="D358" s="4"/>
    </row>
    <row r="359" spans="3:4">
      <c r="C359" s="4"/>
      <c r="D359" s="4"/>
    </row>
    <row r="360" spans="3:4">
      <c r="C360" s="4"/>
      <c r="D360" s="4"/>
    </row>
    <row r="361" spans="3:4">
      <c r="C361" s="4"/>
      <c r="D361" s="4"/>
    </row>
    <row r="362" spans="3:4">
      <c r="C362" s="4"/>
      <c r="D362" s="4"/>
    </row>
    <row r="363" spans="3:4">
      <c r="C363" s="4"/>
      <c r="D363" s="4"/>
    </row>
    <row r="364" spans="3:4">
      <c r="C364" s="4"/>
      <c r="D364" s="4"/>
    </row>
    <row r="365" spans="3:4">
      <c r="C365" s="4"/>
      <c r="D365" s="4"/>
    </row>
    <row r="366" spans="3:4">
      <c r="C366" s="4"/>
      <c r="D366" s="4"/>
    </row>
    <row r="367" spans="3:4">
      <c r="C367" s="4"/>
      <c r="D367" s="4"/>
    </row>
    <row r="368" spans="3:4">
      <c r="C368" s="4"/>
      <c r="D368" s="4"/>
    </row>
    <row r="369" spans="3:4">
      <c r="C369" s="4"/>
      <c r="D369" s="4"/>
    </row>
    <row r="370" spans="3:4">
      <c r="C370" s="4"/>
      <c r="D370" s="4"/>
    </row>
    <row r="371" spans="3:4">
      <c r="C371" s="4"/>
      <c r="D371" s="4"/>
    </row>
    <row r="372" spans="3:4">
      <c r="C372" s="4"/>
      <c r="D372" s="4"/>
    </row>
    <row r="373" spans="3:4">
      <c r="C373" s="4"/>
    </row>
    <row r="374" spans="3:4">
      <c r="C374" s="4"/>
    </row>
    <row r="375" spans="3:4">
      <c r="C375" s="4"/>
    </row>
    <row r="376" spans="3:4">
      <c r="C376" s="4"/>
    </row>
    <row r="377" spans="3:4">
      <c r="C377" s="4"/>
    </row>
    <row r="378" spans="3:4">
      <c r="C378" s="4"/>
    </row>
    <row r="379" spans="3:4">
      <c r="C379" s="4"/>
    </row>
    <row r="380" spans="3:4">
      <c r="C380" s="4"/>
    </row>
    <row r="381" spans="3:4">
      <c r="C381" s="4"/>
    </row>
    <row r="382" spans="3:4">
      <c r="C382" s="4"/>
    </row>
    <row r="383" spans="3:4">
      <c r="C383" s="4"/>
    </row>
    <row r="384" spans="3:4">
      <c r="C384" s="4"/>
    </row>
    <row r="385" spans="3:3">
      <c r="C385" s="4"/>
    </row>
    <row r="386" spans="3:3">
      <c r="C386" s="4"/>
    </row>
    <row r="387" spans="3:3">
      <c r="C387" s="4"/>
    </row>
    <row r="388" spans="3:3">
      <c r="C388" s="4"/>
    </row>
    <row r="389" spans="3:3">
      <c r="C389" s="4"/>
    </row>
    <row r="390" spans="3:3">
      <c r="C390" s="4"/>
    </row>
  </sheetData>
  <mergeCells count="7">
    <mergeCell ref="R1:S1"/>
    <mergeCell ref="N34:O55"/>
    <mergeCell ref="Y1:AA1"/>
    <mergeCell ref="A1:C1"/>
    <mergeCell ref="E1:F1"/>
    <mergeCell ref="I1:J1"/>
    <mergeCell ref="M1:O1"/>
  </mergeCells>
  <pageMargins left="0.75" right="0.75" top="1" bottom="1" header="0.5" footer="0.5"/>
  <pageSetup paperSize="9" orientation="portrait" r:id="rId1"/>
  <headerFooter alignWithMargin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1.25"/>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AB84"/>
  <sheetViews>
    <sheetView workbookViewId="0">
      <selection activeCell="O42" sqref="O42"/>
    </sheetView>
  </sheetViews>
  <sheetFormatPr defaultRowHeight="11.25"/>
  <cols>
    <col min="2" max="2" width="12" hidden="1" customWidth="1"/>
    <col min="3" max="3" width="44.6640625" bestFit="1" customWidth="1"/>
    <col min="4" max="4" width="12" hidden="1" customWidth="1"/>
    <col min="5" max="5" width="12.83203125" hidden="1" customWidth="1"/>
    <col min="6" max="6" width="12.1640625" bestFit="1" customWidth="1"/>
    <col min="8" max="8" width="12" hidden="1" customWidth="1"/>
    <col min="9" max="9" width="54.5" bestFit="1" customWidth="1"/>
    <col min="10" max="10" width="12" hidden="1" customWidth="1"/>
    <col min="11" max="11" width="12.83203125" hidden="1" customWidth="1"/>
    <col min="12" max="12" width="10.1640625" bestFit="1" customWidth="1"/>
    <col min="14" max="14" width="12" hidden="1" customWidth="1"/>
    <col min="15" max="15" width="73.6640625" bestFit="1" customWidth="1"/>
    <col min="16" max="17" width="12" hidden="1" customWidth="1"/>
    <col min="18" max="18" width="42.83203125" bestFit="1" customWidth="1"/>
    <col min="20" max="21" width="12" hidden="1" customWidth="1"/>
    <col min="22" max="22" width="43.83203125" bestFit="1" customWidth="1"/>
    <col min="23" max="23" width="255.83203125" bestFit="1" customWidth="1"/>
    <col min="25" max="26" width="12" hidden="1" customWidth="1"/>
    <col min="27" max="27" width="72.83203125" bestFit="1" customWidth="1"/>
    <col min="28" max="28" width="9" bestFit="1" customWidth="1"/>
  </cols>
  <sheetData>
    <row r="2" spans="2:28" s="336" customFormat="1" ht="12.75">
      <c r="C2" s="336" t="s">
        <v>1099</v>
      </c>
      <c r="I2" s="336" t="s">
        <v>1100</v>
      </c>
      <c r="O2" s="336" t="s">
        <v>1101</v>
      </c>
      <c r="V2" s="336" t="s">
        <v>1102</v>
      </c>
      <c r="AA2" s="336" t="s">
        <v>1103</v>
      </c>
    </row>
    <row r="4" spans="2:28">
      <c r="B4" t="s">
        <v>930</v>
      </c>
      <c r="C4" t="s">
        <v>934</v>
      </c>
      <c r="D4" t="s">
        <v>932</v>
      </c>
      <c r="E4" t="s">
        <v>933</v>
      </c>
      <c r="F4" t="s">
        <v>6</v>
      </c>
      <c r="H4" t="s">
        <v>930</v>
      </c>
      <c r="I4" t="s">
        <v>934</v>
      </c>
      <c r="J4" t="s">
        <v>932</v>
      </c>
      <c r="K4" t="s">
        <v>933</v>
      </c>
      <c r="L4" t="s">
        <v>6</v>
      </c>
      <c r="N4" t="s">
        <v>930</v>
      </c>
      <c r="O4" t="s">
        <v>934</v>
      </c>
      <c r="P4" t="s">
        <v>932</v>
      </c>
      <c r="Q4" t="s">
        <v>933</v>
      </c>
      <c r="R4" t="s">
        <v>6</v>
      </c>
      <c r="T4" t="s">
        <v>930</v>
      </c>
      <c r="U4" t="s">
        <v>931</v>
      </c>
      <c r="V4" t="s">
        <v>1079</v>
      </c>
      <c r="W4" t="s">
        <v>6</v>
      </c>
      <c r="Y4" t="s">
        <v>930</v>
      </c>
      <c r="Z4" t="s">
        <v>931</v>
      </c>
      <c r="AA4" t="s">
        <v>1079</v>
      </c>
      <c r="AB4" t="s">
        <v>6</v>
      </c>
    </row>
    <row r="5" spans="2:28" ht="45">
      <c r="B5" s="334" t="s">
        <v>935</v>
      </c>
      <c r="C5" t="s">
        <v>936</v>
      </c>
      <c r="E5">
        <v>9.4384238084244796</v>
      </c>
      <c r="F5">
        <v>9.4384200000000007</v>
      </c>
      <c r="H5" s="334" t="s">
        <v>935</v>
      </c>
      <c r="I5" t="s">
        <v>938</v>
      </c>
      <c r="K5">
        <v>0</v>
      </c>
      <c r="L5">
        <v>0</v>
      </c>
      <c r="N5" s="334" t="s">
        <v>935</v>
      </c>
      <c r="O5" t="s">
        <v>1076</v>
      </c>
      <c r="Q5" t="s">
        <v>1077</v>
      </c>
      <c r="R5" t="s">
        <v>1078</v>
      </c>
      <c r="T5" s="334" t="s">
        <v>935</v>
      </c>
      <c r="V5" t="s">
        <v>1080</v>
      </c>
      <c r="W5" s="335" t="s">
        <v>918</v>
      </c>
      <c r="Y5" s="334" t="s">
        <v>935</v>
      </c>
      <c r="AA5" t="s">
        <v>1095</v>
      </c>
    </row>
    <row r="6" spans="2:28">
      <c r="B6" s="334" t="s">
        <v>935</v>
      </c>
      <c r="C6" t="s">
        <v>1057</v>
      </c>
      <c r="E6">
        <v>111.5</v>
      </c>
      <c r="F6">
        <v>111.5</v>
      </c>
      <c r="H6" s="334" t="s">
        <v>935</v>
      </c>
      <c r="I6" t="s">
        <v>941</v>
      </c>
      <c r="K6">
        <v>2.10435779816514</v>
      </c>
      <c r="L6">
        <v>2.1043599999999998</v>
      </c>
      <c r="T6" s="334" t="s">
        <v>935</v>
      </c>
      <c r="V6" t="s">
        <v>1081</v>
      </c>
      <c r="W6" t="s">
        <v>919</v>
      </c>
      <c r="Y6" s="334" t="s">
        <v>935</v>
      </c>
      <c r="AA6" t="s">
        <v>1096</v>
      </c>
    </row>
    <row r="7" spans="2:28">
      <c r="B7" s="334" t="s">
        <v>935</v>
      </c>
      <c r="C7" t="s">
        <v>1058</v>
      </c>
      <c r="E7">
        <v>43685</v>
      </c>
      <c r="F7" s="333">
        <v>43685</v>
      </c>
      <c r="H7" s="334" t="s">
        <v>935</v>
      </c>
      <c r="I7" t="s">
        <v>942</v>
      </c>
      <c r="K7">
        <v>2.76</v>
      </c>
      <c r="L7">
        <v>2.76</v>
      </c>
      <c r="T7" s="334" t="s">
        <v>935</v>
      </c>
      <c r="V7" t="s">
        <v>1082</v>
      </c>
      <c r="W7" t="s">
        <v>929</v>
      </c>
      <c r="Y7" s="334" t="s">
        <v>935</v>
      </c>
      <c r="AA7" t="s">
        <v>1097</v>
      </c>
    </row>
    <row r="8" spans="2:28">
      <c r="B8" s="334" t="s">
        <v>935</v>
      </c>
      <c r="C8" t="s">
        <v>937</v>
      </c>
      <c r="E8">
        <v>17.409616667350001</v>
      </c>
      <c r="F8">
        <v>17.40962</v>
      </c>
      <c r="H8" s="334" t="s">
        <v>935</v>
      </c>
      <c r="I8" t="s">
        <v>943</v>
      </c>
      <c r="K8">
        <v>3.6368810472396098</v>
      </c>
      <c r="L8">
        <v>3.6368800000000001</v>
      </c>
      <c r="T8" s="334" t="s">
        <v>935</v>
      </c>
      <c r="V8" t="s">
        <v>1083</v>
      </c>
      <c r="W8" t="s">
        <v>923</v>
      </c>
      <c r="Y8" s="334" t="s">
        <v>935</v>
      </c>
      <c r="AA8" t="s">
        <v>1098</v>
      </c>
    </row>
    <row r="9" spans="2:28">
      <c r="B9" s="334" t="s">
        <v>935</v>
      </c>
      <c r="C9" t="s">
        <v>939</v>
      </c>
      <c r="E9">
        <v>20228.886385000002</v>
      </c>
      <c r="F9">
        <v>20228.88639</v>
      </c>
      <c r="H9" s="334" t="s">
        <v>935</v>
      </c>
      <c r="I9" t="s">
        <v>944</v>
      </c>
      <c r="K9">
        <v>5.8581235697940501</v>
      </c>
      <c r="L9">
        <v>5.8581200000000004</v>
      </c>
      <c r="T9" s="334" t="s">
        <v>935</v>
      </c>
      <c r="V9" t="s">
        <v>1084</v>
      </c>
      <c r="W9" t="s">
        <v>924</v>
      </c>
    </row>
    <row r="10" spans="2:28">
      <c r="B10" s="334" t="s">
        <v>935</v>
      </c>
      <c r="C10" t="s">
        <v>940</v>
      </c>
      <c r="E10">
        <v>2.0627802690583001</v>
      </c>
      <c r="F10">
        <v>2.0627800000000001</v>
      </c>
      <c r="H10" s="334" t="s">
        <v>935</v>
      </c>
      <c r="I10" t="s">
        <v>948</v>
      </c>
      <c r="K10">
        <v>31.156403269754801</v>
      </c>
      <c r="L10">
        <v>31.156400000000001</v>
      </c>
      <c r="T10" s="334" t="s">
        <v>935</v>
      </c>
      <c r="V10" t="s">
        <v>1085</v>
      </c>
      <c r="W10" t="s">
        <v>925</v>
      </c>
    </row>
    <row r="11" spans="2:28">
      <c r="B11" s="334" t="s">
        <v>935</v>
      </c>
      <c r="C11" t="s">
        <v>1059</v>
      </c>
      <c r="E11">
        <v>5.0030000000000001</v>
      </c>
      <c r="F11">
        <v>5.0030000000000001</v>
      </c>
      <c r="H11" s="334" t="s">
        <v>935</v>
      </c>
      <c r="I11" t="s">
        <v>949</v>
      </c>
      <c r="K11">
        <v>31.7710524362179</v>
      </c>
      <c r="L11">
        <v>31.771049999999999</v>
      </c>
      <c r="T11" s="334" t="s">
        <v>935</v>
      </c>
      <c r="V11" t="s">
        <v>1086</v>
      </c>
      <c r="W11" t="s">
        <v>926</v>
      </c>
    </row>
    <row r="12" spans="2:28" ht="45">
      <c r="B12" s="334" t="s">
        <v>935</v>
      </c>
      <c r="C12" t="s">
        <v>1060</v>
      </c>
      <c r="E12">
        <v>5.7030000000000003</v>
      </c>
      <c r="F12">
        <v>5.7030000000000003</v>
      </c>
      <c r="H12" s="334" t="s">
        <v>935</v>
      </c>
      <c r="I12" t="s">
        <v>950</v>
      </c>
      <c r="K12">
        <v>61.075479063038301</v>
      </c>
      <c r="L12">
        <v>61.075479999999999</v>
      </c>
      <c r="T12" s="334" t="s">
        <v>935</v>
      </c>
      <c r="V12" t="s">
        <v>1087</v>
      </c>
      <c r="W12" s="335" t="s">
        <v>927</v>
      </c>
    </row>
    <row r="13" spans="2:28" ht="45">
      <c r="B13" s="334" t="s">
        <v>935</v>
      </c>
      <c r="C13" t="s">
        <v>1061</v>
      </c>
      <c r="E13">
        <v>6.2130000000000001</v>
      </c>
      <c r="F13">
        <v>6.2130000000000001</v>
      </c>
      <c r="H13" s="334" t="s">
        <v>935</v>
      </c>
      <c r="I13" t="s">
        <v>956</v>
      </c>
      <c r="K13">
        <v>1.65</v>
      </c>
      <c r="L13">
        <v>1.65</v>
      </c>
      <c r="T13" s="334" t="s">
        <v>935</v>
      </c>
      <c r="V13" t="s">
        <v>1088</v>
      </c>
      <c r="W13" s="335" t="s">
        <v>928</v>
      </c>
    </row>
    <row r="14" spans="2:28">
      <c r="B14" s="334" t="s">
        <v>935</v>
      </c>
      <c r="C14" t="s">
        <v>945</v>
      </c>
      <c r="E14">
        <v>6.5060883293481098</v>
      </c>
      <c r="F14">
        <v>6.5060900000000004</v>
      </c>
      <c r="H14" s="334" t="s">
        <v>935</v>
      </c>
      <c r="I14" t="s">
        <v>957</v>
      </c>
      <c r="K14">
        <v>1.75</v>
      </c>
      <c r="L14">
        <v>1.75</v>
      </c>
      <c r="T14" s="334" t="s">
        <v>935</v>
      </c>
      <c r="V14" t="s">
        <v>1089</v>
      </c>
      <c r="W14" t="s">
        <v>920</v>
      </c>
    </row>
    <row r="15" spans="2:28">
      <c r="B15" s="334" t="s">
        <v>935</v>
      </c>
      <c r="C15" t="s">
        <v>946</v>
      </c>
      <c r="E15">
        <v>7.8589256384624298</v>
      </c>
      <c r="F15">
        <v>7.85893</v>
      </c>
      <c r="H15" s="334" t="s">
        <v>935</v>
      </c>
      <c r="I15" t="s">
        <v>958</v>
      </c>
      <c r="K15">
        <v>1.85</v>
      </c>
      <c r="L15">
        <v>1.85</v>
      </c>
      <c r="T15" s="334" t="s">
        <v>935</v>
      </c>
      <c r="V15" t="s">
        <v>1090</v>
      </c>
      <c r="W15" t="s">
        <v>921</v>
      </c>
    </row>
    <row r="16" spans="2:28">
      <c r="B16" s="334" t="s">
        <v>935</v>
      </c>
      <c r="C16" t="s">
        <v>947</v>
      </c>
      <c r="E16">
        <v>9.1961844985571393</v>
      </c>
      <c r="F16">
        <v>9.19618</v>
      </c>
      <c r="H16" s="334" t="s">
        <v>935</v>
      </c>
      <c r="I16" t="s">
        <v>959</v>
      </c>
      <c r="K16">
        <v>2.2999999999999998</v>
      </c>
      <c r="L16">
        <v>2.2999999999999998</v>
      </c>
      <c r="T16" s="334" t="s">
        <v>935</v>
      </c>
      <c r="V16" t="s">
        <v>1091</v>
      </c>
      <c r="W16" t="s">
        <v>922</v>
      </c>
    </row>
    <row r="17" spans="2:23">
      <c r="B17" s="334" t="s">
        <v>935</v>
      </c>
      <c r="C17" t="s">
        <v>951</v>
      </c>
      <c r="E17">
        <v>-16.237533137928999</v>
      </c>
      <c r="F17">
        <v>-16.23753</v>
      </c>
      <c r="H17" s="334" t="s">
        <v>935</v>
      </c>
      <c r="I17" t="s">
        <v>965</v>
      </c>
      <c r="K17">
        <v>6.0606060606060703</v>
      </c>
      <c r="L17">
        <v>6.0606099999999996</v>
      </c>
      <c r="T17" s="334" t="s">
        <v>935</v>
      </c>
      <c r="V17" t="s">
        <v>1092</v>
      </c>
      <c r="W17" t="s">
        <v>1094</v>
      </c>
    </row>
    <row r="18" spans="2:23">
      <c r="B18" s="334" t="s">
        <v>935</v>
      </c>
      <c r="C18" t="s">
        <v>952</v>
      </c>
      <c r="E18">
        <v>15.1801219057092</v>
      </c>
      <c r="F18">
        <v>15.180120000000001</v>
      </c>
      <c r="H18" s="334" t="s">
        <v>935</v>
      </c>
      <c r="I18" t="s">
        <v>966</v>
      </c>
      <c r="K18">
        <v>5.7142857142857197</v>
      </c>
      <c r="L18">
        <v>5.7142900000000001</v>
      </c>
      <c r="T18" s="334" t="s">
        <v>935</v>
      </c>
      <c r="V18" t="s">
        <v>1093</v>
      </c>
      <c r="W18" t="s">
        <v>611</v>
      </c>
    </row>
    <row r="19" spans="2:23">
      <c r="B19" s="334" t="s">
        <v>935</v>
      </c>
      <c r="C19" t="s">
        <v>953</v>
      </c>
      <c r="E19">
        <v>15.1156668970469</v>
      </c>
      <c r="F19">
        <v>15.11567</v>
      </c>
      <c r="H19" s="334" t="s">
        <v>935</v>
      </c>
      <c r="I19" t="s">
        <v>967</v>
      </c>
      <c r="K19">
        <v>24.324324324324301</v>
      </c>
      <c r="L19">
        <v>24.32432</v>
      </c>
    </row>
    <row r="20" spans="2:23">
      <c r="B20" s="334" t="s">
        <v>935</v>
      </c>
      <c r="C20" t="s">
        <v>954</v>
      </c>
      <c r="E20">
        <v>20.793405201891499</v>
      </c>
      <c r="F20">
        <v>20.793410000000002</v>
      </c>
      <c r="H20" s="334" t="s">
        <v>935</v>
      </c>
      <c r="I20" t="s">
        <v>973</v>
      </c>
      <c r="K20">
        <v>78.408719346049097</v>
      </c>
      <c r="L20">
        <v>78.408720000000002</v>
      </c>
    </row>
    <row r="21" spans="2:23">
      <c r="B21" s="334" t="s">
        <v>935</v>
      </c>
      <c r="C21" t="s">
        <v>955</v>
      </c>
      <c r="E21">
        <v>17.015797344487101</v>
      </c>
      <c r="F21">
        <v>17.015799999999999</v>
      </c>
      <c r="H21" s="334" t="s">
        <v>935</v>
      </c>
      <c r="I21" t="s">
        <v>974</v>
      </c>
      <c r="K21">
        <v>63.405797101449302</v>
      </c>
      <c r="L21">
        <v>63.405799999999999</v>
      </c>
    </row>
    <row r="22" spans="2:23">
      <c r="B22" s="334" t="s">
        <v>935</v>
      </c>
      <c r="C22" t="s">
        <v>960</v>
      </c>
      <c r="E22">
        <v>2.4534544069439601</v>
      </c>
      <c r="F22">
        <v>2.4534500000000001</v>
      </c>
      <c r="H22" s="334" t="s">
        <v>935</v>
      </c>
      <c r="I22" t="s">
        <v>975</v>
      </c>
      <c r="K22">
        <v>50.867762128325502</v>
      </c>
      <c r="L22">
        <v>50.867759999999997</v>
      </c>
    </row>
    <row r="23" spans="2:23">
      <c r="B23" s="334" t="s">
        <v>935</v>
      </c>
      <c r="C23" t="s">
        <v>961</v>
      </c>
      <c r="E23">
        <v>2.8258917768190499</v>
      </c>
      <c r="F23">
        <v>2.8258899999999998</v>
      </c>
      <c r="H23" s="334" t="s">
        <v>935</v>
      </c>
      <c r="I23" t="s">
        <v>976</v>
      </c>
      <c r="K23">
        <v>39.26171875</v>
      </c>
      <c r="L23">
        <v>39.261719999999997</v>
      </c>
    </row>
    <row r="24" spans="2:23">
      <c r="B24" s="334" t="s">
        <v>935</v>
      </c>
      <c r="C24" t="s">
        <v>962</v>
      </c>
      <c r="E24">
        <v>3.25304416467405</v>
      </c>
      <c r="F24">
        <v>3.2530399999999999</v>
      </c>
      <c r="H24" s="334" t="s">
        <v>935</v>
      </c>
      <c r="I24" t="s">
        <v>977</v>
      </c>
      <c r="K24">
        <v>50</v>
      </c>
      <c r="L24">
        <v>50</v>
      </c>
    </row>
    <row r="25" spans="2:23">
      <c r="B25" s="334" t="s">
        <v>935</v>
      </c>
      <c r="C25" t="s">
        <v>963</v>
      </c>
      <c r="E25">
        <v>3.9294628192312202</v>
      </c>
      <c r="F25">
        <v>3.9294600000000002</v>
      </c>
      <c r="H25" s="334" t="s">
        <v>935</v>
      </c>
      <c r="I25" t="s">
        <v>978</v>
      </c>
      <c r="K25">
        <v>50</v>
      </c>
      <c r="L25">
        <v>50</v>
      </c>
    </row>
    <row r="26" spans="2:23">
      <c r="B26" s="334" t="s">
        <v>935</v>
      </c>
      <c r="C26" t="s">
        <v>964</v>
      </c>
      <c r="E26">
        <v>4.5980922492785696</v>
      </c>
      <c r="F26">
        <v>4.59809</v>
      </c>
      <c r="H26" s="334" t="s">
        <v>935</v>
      </c>
      <c r="I26" t="s">
        <v>979</v>
      </c>
      <c r="K26">
        <v>50</v>
      </c>
      <c r="L26">
        <v>50</v>
      </c>
    </row>
    <row r="27" spans="2:23">
      <c r="B27" s="334" t="s">
        <v>935</v>
      </c>
      <c r="C27" t="s">
        <v>968</v>
      </c>
      <c r="E27">
        <v>6.6719307366937901</v>
      </c>
      <c r="F27">
        <v>6.6719299999999997</v>
      </c>
      <c r="H27" s="334" t="s">
        <v>935</v>
      </c>
      <c r="I27" t="s">
        <v>980</v>
      </c>
      <c r="K27">
        <v>50</v>
      </c>
      <c r="L27">
        <v>50</v>
      </c>
    </row>
    <row r="28" spans="2:23">
      <c r="B28" s="334" t="s">
        <v>935</v>
      </c>
      <c r="C28" t="s">
        <v>969</v>
      </c>
      <c r="E28">
        <v>15.1801219057092</v>
      </c>
      <c r="F28">
        <v>15.180120000000001</v>
      </c>
      <c r="H28" s="334" t="s">
        <v>935</v>
      </c>
      <c r="I28" t="s">
        <v>981</v>
      </c>
      <c r="K28">
        <v>50</v>
      </c>
      <c r="L28">
        <v>50</v>
      </c>
    </row>
    <row r="29" spans="2:23">
      <c r="B29" s="334" t="s">
        <v>935</v>
      </c>
      <c r="C29" t="s">
        <v>970</v>
      </c>
      <c r="E29">
        <v>15.1156668970469</v>
      </c>
      <c r="F29">
        <v>15.11567</v>
      </c>
      <c r="H29" s="334" t="s">
        <v>935</v>
      </c>
      <c r="I29" t="s">
        <v>993</v>
      </c>
      <c r="K29">
        <v>17</v>
      </c>
      <c r="L29">
        <v>17</v>
      </c>
    </row>
    <row r="30" spans="2:23">
      <c r="B30" s="334" t="s">
        <v>935</v>
      </c>
      <c r="C30" t="s">
        <v>971</v>
      </c>
      <c r="E30">
        <v>20.793405201891499</v>
      </c>
      <c r="F30">
        <v>20.793410000000002</v>
      </c>
      <c r="H30" s="334" t="s">
        <v>935</v>
      </c>
      <c r="I30" t="s">
        <v>997</v>
      </c>
      <c r="K30">
        <v>40.673723042765197</v>
      </c>
      <c r="L30">
        <v>40.673720000000003</v>
      </c>
    </row>
    <row r="31" spans="2:23">
      <c r="B31" s="334" t="s">
        <v>935</v>
      </c>
      <c r="C31" t="s">
        <v>972</v>
      </c>
      <c r="E31">
        <v>17.015797344487101</v>
      </c>
      <c r="F31">
        <v>17.015799999999999</v>
      </c>
      <c r="H31" s="334" t="s">
        <v>935</v>
      </c>
      <c r="I31" t="s">
        <v>1000</v>
      </c>
      <c r="K31">
        <v>0</v>
      </c>
      <c r="L31">
        <v>0</v>
      </c>
    </row>
    <row r="32" spans="2:23">
      <c r="B32" s="334" t="s">
        <v>935</v>
      </c>
      <c r="C32" t="s">
        <v>982</v>
      </c>
      <c r="E32">
        <v>52.985286103542201</v>
      </c>
      <c r="F32">
        <v>52.985289999999999</v>
      </c>
      <c r="H32" s="334" t="s">
        <v>935</v>
      </c>
      <c r="I32" t="s">
        <v>1062</v>
      </c>
      <c r="K32">
        <v>3.9251525690515301</v>
      </c>
      <c r="L32">
        <v>3.9251499999999999</v>
      </c>
    </row>
    <row r="33" spans="2:12">
      <c r="B33" s="334" t="s">
        <v>935</v>
      </c>
      <c r="C33" t="s">
        <v>983</v>
      </c>
      <c r="E33">
        <v>40.398550724637701</v>
      </c>
      <c r="F33">
        <v>40.39855</v>
      </c>
      <c r="H33" s="334" t="s">
        <v>935</v>
      </c>
      <c r="I33" t="s">
        <v>1063</v>
      </c>
      <c r="K33">
        <v>4</v>
      </c>
      <c r="L33">
        <v>4</v>
      </c>
    </row>
    <row r="34" spans="2:12">
      <c r="B34" s="334" t="s">
        <v>935</v>
      </c>
      <c r="C34" t="s">
        <v>984</v>
      </c>
      <c r="E34">
        <v>30.658137715180001</v>
      </c>
      <c r="F34">
        <v>30.65814</v>
      </c>
      <c r="H34" s="334" t="s">
        <v>935</v>
      </c>
      <c r="I34" t="s">
        <v>1001</v>
      </c>
      <c r="K34">
        <v>1</v>
      </c>
      <c r="L34">
        <v>1</v>
      </c>
    </row>
    <row r="35" spans="2:12">
      <c r="B35" s="334" t="s">
        <v>935</v>
      </c>
      <c r="C35" t="s">
        <v>985</v>
      </c>
      <c r="E35">
        <v>19.033398437500001</v>
      </c>
      <c r="F35">
        <v>19.0334</v>
      </c>
      <c r="H35" s="334" t="s">
        <v>935</v>
      </c>
      <c r="I35" t="s">
        <v>1002</v>
      </c>
      <c r="K35">
        <v>-0.11111111111111099</v>
      </c>
      <c r="L35">
        <v>-0.11111</v>
      </c>
    </row>
    <row r="36" spans="2:12">
      <c r="B36" s="334" t="s">
        <v>935</v>
      </c>
      <c r="C36" t="s">
        <v>986</v>
      </c>
      <c r="E36">
        <v>22.723063384512901</v>
      </c>
      <c r="F36">
        <v>22.72306</v>
      </c>
      <c r="H36" s="334" t="s">
        <v>935</v>
      </c>
      <c r="I36" t="s">
        <v>1003</v>
      </c>
      <c r="K36">
        <v>8.8140414579404194</v>
      </c>
      <c r="L36">
        <v>8.8140400000000003</v>
      </c>
    </row>
    <row r="37" spans="2:12">
      <c r="B37" s="334" t="s">
        <v>935</v>
      </c>
      <c r="C37" t="s">
        <v>987</v>
      </c>
      <c r="E37">
        <v>19.728285583092902</v>
      </c>
      <c r="F37">
        <v>19.728290000000001</v>
      </c>
      <c r="H37" s="334" t="s">
        <v>935</v>
      </c>
      <c r="I37" t="s">
        <v>1005</v>
      </c>
      <c r="K37">
        <v>13.103007037747901</v>
      </c>
      <c r="L37">
        <v>13.103009999999999</v>
      </c>
    </row>
    <row r="38" spans="2:12">
      <c r="B38" s="334" t="s">
        <v>935</v>
      </c>
      <c r="C38" t="s">
        <v>988</v>
      </c>
      <c r="E38">
        <v>17.137793764194399</v>
      </c>
      <c r="F38">
        <v>17.137789999999999</v>
      </c>
      <c r="H38" s="334" t="s">
        <v>935</v>
      </c>
      <c r="I38" t="s">
        <v>1006</v>
      </c>
      <c r="K38">
        <v>4</v>
      </c>
      <c r="L38">
        <v>4</v>
      </c>
    </row>
    <row r="39" spans="2:12">
      <c r="B39" s="334" t="s">
        <v>935</v>
      </c>
      <c r="C39" t="s">
        <v>989</v>
      </c>
      <c r="E39">
        <v>14.1876899120036</v>
      </c>
      <c r="F39">
        <v>14.18769</v>
      </c>
      <c r="H39" s="334" t="s">
        <v>935</v>
      </c>
      <c r="I39" t="s">
        <v>1007</v>
      </c>
      <c r="K39">
        <v>3.27575175943698</v>
      </c>
      <c r="L39">
        <v>3.2757499999999999</v>
      </c>
    </row>
    <row r="40" spans="2:12">
      <c r="B40" s="334" t="s">
        <v>935</v>
      </c>
      <c r="C40" t="s">
        <v>990</v>
      </c>
      <c r="E40">
        <v>12.124593630923099</v>
      </c>
      <c r="F40">
        <v>12.12459</v>
      </c>
      <c r="H40" s="334" t="s">
        <v>935</v>
      </c>
      <c r="I40" t="s">
        <v>1008</v>
      </c>
      <c r="K40">
        <v>44.519450800915301</v>
      </c>
      <c r="L40">
        <v>44.519449999999999</v>
      </c>
    </row>
    <row r="41" spans="2:12">
      <c r="B41" s="334" t="s">
        <v>935</v>
      </c>
      <c r="C41" t="s">
        <v>991</v>
      </c>
      <c r="E41">
        <v>6.34314177328854</v>
      </c>
      <c r="F41">
        <v>6.34314</v>
      </c>
      <c r="H41" s="334" t="s">
        <v>935</v>
      </c>
      <c r="I41" t="s">
        <v>1009</v>
      </c>
      <c r="K41">
        <v>145.83466929026599</v>
      </c>
      <c r="L41">
        <v>145.83466999999999</v>
      </c>
    </row>
    <row r="42" spans="2:12">
      <c r="B42" s="334" t="s">
        <v>935</v>
      </c>
      <c r="C42" t="s">
        <v>992</v>
      </c>
      <c r="E42">
        <v>6.9022289189221304</v>
      </c>
      <c r="F42">
        <v>6.9022300000000003</v>
      </c>
      <c r="H42" s="334" t="s">
        <v>935</v>
      </c>
      <c r="I42" t="s">
        <v>1011</v>
      </c>
      <c r="K42">
        <v>14.3507396636743</v>
      </c>
      <c r="L42">
        <v>14.35074</v>
      </c>
    </row>
    <row r="43" spans="2:12">
      <c r="B43" s="334" t="s">
        <v>935</v>
      </c>
      <c r="C43" t="s">
        <v>994</v>
      </c>
      <c r="E43">
        <v>117.33789162167599</v>
      </c>
      <c r="F43">
        <v>117.33789</v>
      </c>
      <c r="H43" s="334" t="s">
        <v>935</v>
      </c>
      <c r="I43" t="s">
        <v>1012</v>
      </c>
      <c r="K43">
        <v>10.9</v>
      </c>
      <c r="L43">
        <v>10.9</v>
      </c>
    </row>
    <row r="44" spans="2:12">
      <c r="B44" s="334" t="s">
        <v>935</v>
      </c>
      <c r="C44" t="s">
        <v>995</v>
      </c>
      <c r="E44">
        <v>13.5738309624191</v>
      </c>
      <c r="F44">
        <v>13.573829999999999</v>
      </c>
      <c r="H44" s="334" t="s">
        <v>935</v>
      </c>
      <c r="I44" t="s">
        <v>1013</v>
      </c>
      <c r="K44">
        <v>1.31658162052058</v>
      </c>
      <c r="L44">
        <v>1.3165800000000001</v>
      </c>
    </row>
    <row r="45" spans="2:12">
      <c r="B45" s="334" t="s">
        <v>935</v>
      </c>
      <c r="C45" t="s">
        <v>996</v>
      </c>
      <c r="E45">
        <v>130.911722584095</v>
      </c>
      <c r="F45">
        <v>130.91172</v>
      </c>
      <c r="H45" s="334" t="s">
        <v>935</v>
      </c>
      <c r="I45" t="s">
        <v>1016</v>
      </c>
      <c r="K45">
        <v>21</v>
      </c>
      <c r="L45">
        <v>21</v>
      </c>
    </row>
    <row r="46" spans="2:12">
      <c r="B46" s="334" t="s">
        <v>935</v>
      </c>
      <c r="C46" t="s">
        <v>998</v>
      </c>
      <c r="E46">
        <v>-16.237533137928999</v>
      </c>
      <c r="F46">
        <v>-16.23753</v>
      </c>
      <c r="H46" s="334" t="s">
        <v>935</v>
      </c>
      <c r="I46" t="s">
        <v>1019</v>
      </c>
      <c r="K46">
        <v>2</v>
      </c>
      <c r="L46">
        <v>2</v>
      </c>
    </row>
    <row r="47" spans="2:12">
      <c r="B47" s="334" t="s">
        <v>935</v>
      </c>
      <c r="C47" t="s">
        <v>999</v>
      </c>
      <c r="E47">
        <v>9.4384238084244796</v>
      </c>
      <c r="F47">
        <v>9.4384200000000007</v>
      </c>
      <c r="H47" s="334" t="s">
        <v>935</v>
      </c>
      <c r="I47" t="s">
        <v>1021</v>
      </c>
      <c r="K47">
        <v>2</v>
      </c>
      <c r="L47">
        <v>2</v>
      </c>
    </row>
    <row r="48" spans="2:12">
      <c r="B48" s="334" t="s">
        <v>935</v>
      </c>
      <c r="C48" t="s">
        <v>1004</v>
      </c>
      <c r="E48">
        <v>17.409616667350001</v>
      </c>
      <c r="F48">
        <v>17.40962</v>
      </c>
      <c r="H48" s="334" t="s">
        <v>935</v>
      </c>
      <c r="I48" t="s">
        <v>1023</v>
      </c>
      <c r="K48">
        <v>1</v>
      </c>
      <c r="L48">
        <v>1</v>
      </c>
    </row>
    <row r="49" spans="2:12">
      <c r="B49" s="334" t="s">
        <v>935</v>
      </c>
      <c r="C49" t="s">
        <v>1010</v>
      </c>
      <c r="E49">
        <v>30.7934253724363</v>
      </c>
      <c r="F49">
        <v>30.793430000000001</v>
      </c>
      <c r="H49" s="334" t="s">
        <v>935</v>
      </c>
      <c r="I49" t="s">
        <v>1024</v>
      </c>
      <c r="K49">
        <v>5</v>
      </c>
      <c r="L49">
        <v>5</v>
      </c>
    </row>
    <row r="50" spans="2:12">
      <c r="B50" s="334" t="s">
        <v>935</v>
      </c>
      <c r="C50" t="s">
        <v>1014</v>
      </c>
      <c r="E50">
        <v>22.723063384512901</v>
      </c>
      <c r="F50">
        <v>22.72306</v>
      </c>
      <c r="H50" s="334" t="s">
        <v>935</v>
      </c>
      <c r="I50" t="s">
        <v>1025</v>
      </c>
      <c r="K50">
        <v>3</v>
      </c>
      <c r="L50">
        <v>3</v>
      </c>
    </row>
    <row r="51" spans="2:12">
      <c r="B51" s="334" t="s">
        <v>935</v>
      </c>
      <c r="C51" t="s">
        <v>1015</v>
      </c>
      <c r="E51">
        <v>1.0820506373577601</v>
      </c>
      <c r="F51">
        <v>1.08205</v>
      </c>
      <c r="H51" s="334" t="s">
        <v>935</v>
      </c>
      <c r="I51" t="s">
        <v>1026</v>
      </c>
      <c r="K51">
        <v>3</v>
      </c>
      <c r="L51">
        <v>3</v>
      </c>
    </row>
    <row r="52" spans="2:12">
      <c r="B52" s="334" t="s">
        <v>935</v>
      </c>
      <c r="C52" t="s">
        <v>1017</v>
      </c>
      <c r="E52">
        <v>103.045085091646</v>
      </c>
      <c r="F52">
        <v>103.04509</v>
      </c>
      <c r="H52" s="334" t="s">
        <v>935</v>
      </c>
      <c r="I52" t="s">
        <v>1027</v>
      </c>
      <c r="K52">
        <v>5</v>
      </c>
      <c r="L52">
        <v>5</v>
      </c>
    </row>
    <row r="53" spans="2:12">
      <c r="B53" s="334" t="s">
        <v>935</v>
      </c>
      <c r="C53" t="s">
        <v>1018</v>
      </c>
      <c r="E53">
        <v>-7.5828833258778499</v>
      </c>
      <c r="F53">
        <v>-7.5828800000000003</v>
      </c>
      <c r="H53" s="334" t="s">
        <v>935</v>
      </c>
      <c r="I53" t="s">
        <v>1028</v>
      </c>
      <c r="K53">
        <v>1</v>
      </c>
      <c r="L53">
        <v>1</v>
      </c>
    </row>
    <row r="54" spans="2:12">
      <c r="B54" s="334" t="s">
        <v>935</v>
      </c>
      <c r="C54" t="s">
        <v>1020</v>
      </c>
      <c r="E54">
        <v>1</v>
      </c>
      <c r="F54">
        <v>1</v>
      </c>
      <c r="H54" s="334" t="s">
        <v>935</v>
      </c>
      <c r="I54" t="s">
        <v>1029</v>
      </c>
      <c r="K54">
        <v>2</v>
      </c>
      <c r="L54">
        <v>2</v>
      </c>
    </row>
    <row r="55" spans="2:12">
      <c r="B55" s="334" t="s">
        <v>935</v>
      </c>
      <c r="C55" t="s">
        <v>1022</v>
      </c>
      <c r="E55">
        <v>1.6666666666666701</v>
      </c>
      <c r="F55">
        <v>1.6666700000000001</v>
      </c>
      <c r="H55" s="334" t="s">
        <v>935</v>
      </c>
      <c r="I55" t="s">
        <v>1030</v>
      </c>
      <c r="K55">
        <v>2.6666666666666701</v>
      </c>
      <c r="L55">
        <v>2.6666699999999999</v>
      </c>
    </row>
    <row r="56" spans="2:12">
      <c r="B56" s="334" t="s">
        <v>935</v>
      </c>
      <c r="C56" t="s">
        <v>1047</v>
      </c>
      <c r="E56">
        <v>43686.639359294</v>
      </c>
      <c r="F56" s="333">
        <v>43686</v>
      </c>
      <c r="H56" s="334" t="s">
        <v>935</v>
      </c>
      <c r="I56" t="s">
        <v>1031</v>
      </c>
      <c r="K56">
        <v>3</v>
      </c>
      <c r="L56">
        <v>3</v>
      </c>
    </row>
    <row r="57" spans="2:12">
      <c r="B57" s="334" t="s">
        <v>935</v>
      </c>
      <c r="C57" t="s">
        <v>1048</v>
      </c>
      <c r="E57">
        <v>130.911722584095</v>
      </c>
      <c r="F57">
        <v>130.91172</v>
      </c>
      <c r="H57" s="334" t="s">
        <v>935</v>
      </c>
      <c r="I57" t="s">
        <v>1032</v>
      </c>
      <c r="K57">
        <v>4</v>
      </c>
      <c r="L57">
        <v>4</v>
      </c>
    </row>
    <row r="58" spans="2:12">
      <c r="B58" s="334" t="s">
        <v>935</v>
      </c>
      <c r="C58" t="s">
        <v>1049</v>
      </c>
      <c r="E58">
        <v>17.409616667350001</v>
      </c>
      <c r="F58">
        <v>17.40962</v>
      </c>
      <c r="H58" s="334" t="s">
        <v>935</v>
      </c>
      <c r="I58" t="s">
        <v>1033</v>
      </c>
      <c r="K58">
        <v>4</v>
      </c>
      <c r="L58">
        <v>4</v>
      </c>
    </row>
    <row r="59" spans="2:12">
      <c r="B59" s="334" t="s">
        <v>935</v>
      </c>
      <c r="C59" t="s">
        <v>1074</v>
      </c>
      <c r="E59">
        <v>111.5</v>
      </c>
      <c r="F59">
        <v>111.5</v>
      </c>
      <c r="H59" s="334" t="s">
        <v>935</v>
      </c>
      <c r="I59" t="s">
        <v>1034</v>
      </c>
      <c r="K59">
        <v>3</v>
      </c>
      <c r="L59">
        <v>3</v>
      </c>
    </row>
    <row r="60" spans="2:12">
      <c r="B60" s="334" t="s">
        <v>935</v>
      </c>
      <c r="C60" t="s">
        <v>1050</v>
      </c>
      <c r="E60">
        <v>4.9069088138879096</v>
      </c>
      <c r="F60">
        <v>4.9069099999999999</v>
      </c>
      <c r="H60" s="334" t="s">
        <v>935</v>
      </c>
      <c r="I60" t="s">
        <v>1035</v>
      </c>
      <c r="K60">
        <v>2</v>
      </c>
      <c r="L60">
        <v>2</v>
      </c>
    </row>
    <row r="61" spans="2:12">
      <c r="B61" s="334" t="s">
        <v>935</v>
      </c>
      <c r="C61" t="s">
        <v>1051</v>
      </c>
      <c r="E61">
        <v>5.65178355363809</v>
      </c>
      <c r="F61">
        <v>5.6517799999999996</v>
      </c>
      <c r="H61" s="334" t="s">
        <v>935</v>
      </c>
      <c r="I61" t="s">
        <v>1036</v>
      </c>
      <c r="K61">
        <v>2</v>
      </c>
      <c r="L61">
        <v>2</v>
      </c>
    </row>
    <row r="62" spans="2:12">
      <c r="B62" s="334" t="s">
        <v>935</v>
      </c>
      <c r="C62" t="s">
        <v>1054</v>
      </c>
      <c r="E62">
        <v>43682</v>
      </c>
      <c r="F62" s="333">
        <v>43682</v>
      </c>
      <c r="H62" s="334" t="s">
        <v>935</v>
      </c>
      <c r="I62" t="s">
        <v>1037</v>
      </c>
      <c r="K62">
        <v>4</v>
      </c>
      <c r="L62">
        <v>4</v>
      </c>
    </row>
    <row r="63" spans="2:12">
      <c r="B63" s="334" t="s">
        <v>935</v>
      </c>
      <c r="C63" t="s">
        <v>1055</v>
      </c>
      <c r="E63">
        <v>130.911722584095</v>
      </c>
      <c r="F63">
        <v>130.91172</v>
      </c>
      <c r="H63" s="334" t="s">
        <v>935</v>
      </c>
      <c r="I63" t="s">
        <v>1038</v>
      </c>
      <c r="K63">
        <v>4</v>
      </c>
      <c r="L63">
        <v>4</v>
      </c>
    </row>
    <row r="64" spans="2:12">
      <c r="B64" s="334" t="s">
        <v>935</v>
      </c>
      <c r="C64" t="s">
        <v>1056</v>
      </c>
      <c r="E64">
        <v>2.4444444444444402</v>
      </c>
      <c r="F64">
        <v>2.4444400000000002</v>
      </c>
      <c r="H64" s="334" t="s">
        <v>935</v>
      </c>
      <c r="I64" t="s">
        <v>1039</v>
      </c>
      <c r="K64">
        <v>2</v>
      </c>
      <c r="L64">
        <v>2</v>
      </c>
    </row>
    <row r="65" spans="8:12">
      <c r="H65" s="334" t="s">
        <v>935</v>
      </c>
      <c r="I65" t="s">
        <v>1040</v>
      </c>
      <c r="K65">
        <v>1</v>
      </c>
      <c r="L65">
        <v>1</v>
      </c>
    </row>
    <row r="66" spans="8:12">
      <c r="H66" s="334" t="s">
        <v>935</v>
      </c>
      <c r="I66" t="s">
        <v>1041</v>
      </c>
      <c r="K66">
        <v>0</v>
      </c>
      <c r="L66">
        <v>0</v>
      </c>
    </row>
    <row r="67" spans="8:12">
      <c r="H67" s="334" t="s">
        <v>935</v>
      </c>
      <c r="I67" t="s">
        <v>1042</v>
      </c>
      <c r="K67">
        <v>0</v>
      </c>
      <c r="L67">
        <v>0</v>
      </c>
    </row>
    <row r="68" spans="8:12">
      <c r="H68" s="334" t="s">
        <v>935</v>
      </c>
      <c r="I68" t="s">
        <v>1043</v>
      </c>
      <c r="K68">
        <v>0</v>
      </c>
      <c r="L68">
        <v>0</v>
      </c>
    </row>
    <row r="69" spans="8:12">
      <c r="H69" s="334" t="s">
        <v>935</v>
      </c>
      <c r="I69" t="s">
        <v>1044</v>
      </c>
      <c r="K69">
        <v>0</v>
      </c>
      <c r="L69">
        <v>0</v>
      </c>
    </row>
    <row r="70" spans="8:12">
      <c r="H70" s="334" t="s">
        <v>935</v>
      </c>
      <c r="I70" t="s">
        <v>1045</v>
      </c>
      <c r="K70">
        <v>0</v>
      </c>
      <c r="L70">
        <v>0</v>
      </c>
    </row>
    <row r="71" spans="8:12">
      <c r="H71" s="334" t="s">
        <v>935</v>
      </c>
      <c r="I71" t="s">
        <v>1046</v>
      </c>
      <c r="K71">
        <v>0</v>
      </c>
      <c r="L71">
        <v>0</v>
      </c>
    </row>
    <row r="72" spans="8:12">
      <c r="H72" s="334" t="s">
        <v>935</v>
      </c>
      <c r="I72" t="s">
        <v>1064</v>
      </c>
      <c r="K72">
        <v>43465</v>
      </c>
      <c r="L72" s="333">
        <v>43465</v>
      </c>
    </row>
    <row r="73" spans="8:12">
      <c r="H73" s="334" t="s">
        <v>935</v>
      </c>
      <c r="I73" t="s">
        <v>1065</v>
      </c>
      <c r="K73">
        <v>42369</v>
      </c>
      <c r="L73" s="333">
        <v>42369</v>
      </c>
    </row>
    <row r="74" spans="8:12">
      <c r="H74" s="334" t="s">
        <v>935</v>
      </c>
      <c r="I74" t="s">
        <v>1066</v>
      </c>
      <c r="K74">
        <v>42735</v>
      </c>
      <c r="L74" s="333">
        <v>42735</v>
      </c>
    </row>
    <row r="75" spans="8:12">
      <c r="H75" s="334" t="s">
        <v>935</v>
      </c>
      <c r="I75" t="s">
        <v>1067</v>
      </c>
      <c r="K75">
        <v>43100</v>
      </c>
      <c r="L75" s="333">
        <v>43100</v>
      </c>
    </row>
    <row r="76" spans="8:12">
      <c r="H76" s="334" t="s">
        <v>935</v>
      </c>
      <c r="I76" t="s">
        <v>1068</v>
      </c>
      <c r="K76">
        <v>43465</v>
      </c>
      <c r="L76" s="333">
        <v>43465</v>
      </c>
    </row>
    <row r="77" spans="8:12">
      <c r="H77" s="334" t="s">
        <v>935</v>
      </c>
      <c r="I77" t="s">
        <v>1069</v>
      </c>
      <c r="K77">
        <v>43830</v>
      </c>
      <c r="L77" s="333">
        <v>43830</v>
      </c>
    </row>
    <row r="78" spans="8:12">
      <c r="H78" s="334" t="s">
        <v>935</v>
      </c>
      <c r="I78" t="s">
        <v>1070</v>
      </c>
      <c r="K78">
        <v>44196</v>
      </c>
      <c r="L78" s="333">
        <v>44196</v>
      </c>
    </row>
    <row r="79" spans="8:12">
      <c r="H79" s="334" t="s">
        <v>935</v>
      </c>
      <c r="I79" t="s">
        <v>1071</v>
      </c>
      <c r="K79">
        <v>44561</v>
      </c>
      <c r="L79" s="333">
        <v>44561</v>
      </c>
    </row>
    <row r="80" spans="8:12">
      <c r="H80" s="334" t="s">
        <v>935</v>
      </c>
      <c r="I80" t="s">
        <v>1072</v>
      </c>
      <c r="K80">
        <v>44926</v>
      </c>
      <c r="L80" s="333">
        <v>44926</v>
      </c>
    </row>
    <row r="81" spans="8:12">
      <c r="H81" s="334" t="s">
        <v>935</v>
      </c>
      <c r="I81" t="s">
        <v>1073</v>
      </c>
      <c r="K81">
        <v>45291</v>
      </c>
      <c r="L81" s="333">
        <v>45291</v>
      </c>
    </row>
    <row r="82" spans="8:12">
      <c r="H82" s="334" t="s">
        <v>935</v>
      </c>
      <c r="I82" t="s">
        <v>1075</v>
      </c>
      <c r="K82">
        <v>1</v>
      </c>
      <c r="L82">
        <v>1</v>
      </c>
    </row>
    <row r="83" spans="8:12">
      <c r="H83" s="334" t="s">
        <v>935</v>
      </c>
      <c r="I83" t="s">
        <v>1052</v>
      </c>
      <c r="K83">
        <v>0</v>
      </c>
      <c r="L83">
        <v>0</v>
      </c>
    </row>
    <row r="84" spans="8:12">
      <c r="H84" s="334" t="s">
        <v>935</v>
      </c>
      <c r="I84" t="s">
        <v>1053</v>
      </c>
      <c r="K84">
        <v>2</v>
      </c>
      <c r="L84">
        <v>2</v>
      </c>
    </row>
  </sheetData>
  <pageMargins left="0.7" right="0.7" top="0.75" bottom="0.75" header="0.3" footer="0.3"/>
  <pageSetup paperSize="9" orientation="portrait" r:id="rId1"/>
  <tableParts count="5">
    <tablePart r:id="rId2"/>
    <tablePart r:id="rId3"/>
    <tablePart r:id="rId4"/>
    <tablePart r:id="rId5"/>
    <tablePart r:id="rId6"/>
  </tableParts>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Worksheets</vt:lpstr>
      </vt:variant>
      <vt:variant>
        <vt:i4>9</vt:i4>
      </vt:variant>
      <vt:variant>
        <vt:lpstr>Named Ranges</vt:lpstr>
      </vt:variant>
      <vt:variant>
        <vt:i4>534</vt:i4>
      </vt:variant>
    </vt:vector>
  </HeadingPairs>
  <TitlesOfParts>
    <vt:vector size="543" baseType="lpstr">
      <vt:lpstr>Company Overview</vt:lpstr>
      <vt:lpstr>Sheet2</vt:lpstr>
      <vt:lpstr>Company Score Card</vt:lpstr>
      <vt:lpstr>ESG Considerations</vt:lpstr>
      <vt:lpstr>Introduction</vt:lpstr>
      <vt:lpstr>Synapse_Upload_Data</vt:lpstr>
      <vt:lpstr>Sheet1</vt:lpstr>
      <vt:lpstr>Synapse Upload Results</vt:lpstr>
      <vt:lpstr>Sheet3</vt:lpstr>
      <vt:lpstr>BARINGS_12M_TARGET_SELL_PRICE</vt:lpstr>
      <vt:lpstr>BARINGS_DISCOUNT_RATE</vt:lpstr>
      <vt:lpstr>BUS_DESCRIPTION_DUMMY</vt:lpstr>
      <vt:lpstr>BV_MULTI</vt:lpstr>
      <vt:lpstr>BV_PS</vt:lpstr>
      <vt:lpstr>CMP_PE_FY1</vt:lpstr>
      <vt:lpstr>CMP_PE_RELATIVE</vt:lpstr>
      <vt:lpstr>CMP_SPECIFIC</vt:lpstr>
      <vt:lpstr>DIV_FREQ</vt:lpstr>
      <vt:lpstr>DIVIDEND_12M_FWD_VALUE</vt:lpstr>
      <vt:lpstr>DIVIDEND_YIELD_FY0</vt:lpstr>
      <vt:lpstr>DL_APPLICABLE_FOR_LIGHT_COVERAGE</vt:lpstr>
      <vt:lpstr>DL_APPLICABLE_FOR_VALUATION_MODEL</vt:lpstr>
      <vt:lpstr>DL_BARINGS_12M_TARGET_SELL_PRICE</vt:lpstr>
      <vt:lpstr>DL_BARINGS_DISCOUNT_RATE</vt:lpstr>
      <vt:lpstr>DL_BUY_TARGET</vt:lpstr>
      <vt:lpstr>DL_BV_MULTI</vt:lpstr>
      <vt:lpstr>DL_BV_PS</vt:lpstr>
      <vt:lpstr>DL_CMP_PE_FY1</vt:lpstr>
      <vt:lpstr>DL_CMP_PE_RELATIVE</vt:lpstr>
      <vt:lpstr>DL_CMP_SPECIFIC</vt:lpstr>
      <vt:lpstr>DL_DIV_FREQ</vt:lpstr>
      <vt:lpstr>DL_DIVIDEND_12M_FWD_VALUE</vt:lpstr>
      <vt:lpstr>DL_DIVIDEND_YIELD_FY0</vt:lpstr>
      <vt:lpstr>DL_DPS_1Y</vt:lpstr>
      <vt:lpstr>DL_DPS_2Y</vt:lpstr>
      <vt:lpstr>DL_DPS_3Y</vt:lpstr>
      <vt:lpstr>DL_DPS_FY0</vt:lpstr>
      <vt:lpstr>DL_DPS_FY1</vt:lpstr>
      <vt:lpstr>DL_DPS_FY2</vt:lpstr>
      <vt:lpstr>DL_DPS_FY3</vt:lpstr>
      <vt:lpstr>DL_DPS_FY4</vt:lpstr>
      <vt:lpstr>DL_DPS_FY5</vt:lpstr>
      <vt:lpstr>DL_DPS_GRWTH_1Y</vt:lpstr>
      <vt:lpstr>DL_DPS_GRWTH_2Y</vt:lpstr>
      <vt:lpstr>DL_DPS_GRWTH_FY0</vt:lpstr>
      <vt:lpstr>DL_DPS_GRWTH_FY1</vt:lpstr>
      <vt:lpstr>DL_DPS_GRWTH_FY2</vt:lpstr>
      <vt:lpstr>DL_DPS_GRWTH_FY3</vt:lpstr>
      <vt:lpstr>DL_DPS_GRWTH_FY4</vt:lpstr>
      <vt:lpstr>DL_DPS_GRWTH_FY5</vt:lpstr>
      <vt:lpstr>DL_DPS_PAYOUT_1Y</vt:lpstr>
      <vt:lpstr>DL_DPS_PAYOUT_2Y</vt:lpstr>
      <vt:lpstr>DL_DPS_PAYOUT_3Y</vt:lpstr>
      <vt:lpstr>DL_DPS_PAYOUT_FY0</vt:lpstr>
      <vt:lpstr>DL_DPS_PAYOUT_FY1</vt:lpstr>
      <vt:lpstr>DL_DPS_PAYOUT_FY2</vt:lpstr>
      <vt:lpstr>DL_DPS_PAYOUT_FY3</vt:lpstr>
      <vt:lpstr>DL_DPS_PAYOUT_FY4</vt:lpstr>
      <vt:lpstr>DL_DPS_PAYOUT_FY5</vt:lpstr>
      <vt:lpstr>DL_EPS_12M_FWD_VALUE</vt:lpstr>
      <vt:lpstr>DL_EPS_1Y</vt:lpstr>
      <vt:lpstr>DL_EPS_2Y</vt:lpstr>
      <vt:lpstr>DL_EPS_3Y</vt:lpstr>
      <vt:lpstr>DL_EPS_5YR</vt:lpstr>
      <vt:lpstr>DL_EPS_5YR_DISCOUNTED</vt:lpstr>
      <vt:lpstr>DL_EPS_FY0</vt:lpstr>
      <vt:lpstr>DL_EPS_FY1</vt:lpstr>
      <vt:lpstr>DL_EPS_FY1_CONSENSUS</vt:lpstr>
      <vt:lpstr>DL_EPS_FY1_CONSENSUS_DATE</vt:lpstr>
      <vt:lpstr>DL_EPS_FY1_REPORT_CCY</vt:lpstr>
      <vt:lpstr>DL_EPS_FY2</vt:lpstr>
      <vt:lpstr>DL_EPS_FY2_CONSENSUS</vt:lpstr>
      <vt:lpstr>DL_EPS_FY2_CONSENSUS_DATE</vt:lpstr>
      <vt:lpstr>DL_EPS_FY2_REPORT_CCY</vt:lpstr>
      <vt:lpstr>DL_EPS_FY3</vt:lpstr>
      <vt:lpstr>DL_EPS_FY3_CONSENSUS</vt:lpstr>
      <vt:lpstr>DL_EPS_FY3_CONSENSUS_DATE</vt:lpstr>
      <vt:lpstr>DL_EPS_FY4</vt:lpstr>
      <vt:lpstr>DL_EPS_FY5</vt:lpstr>
      <vt:lpstr>DL_EPS_GRWTH_1Y</vt:lpstr>
      <vt:lpstr>DL_EPS_GRWTH_2Y</vt:lpstr>
      <vt:lpstr>DL_EPS_GRWTH_AVERAGE</vt:lpstr>
      <vt:lpstr>DL_EPS_GRWTH_CAGR_NEXT_5YRS</vt:lpstr>
      <vt:lpstr>DL_EPS_GRWTH_FY0</vt:lpstr>
      <vt:lpstr>DL_EPS_GRWTH_FY1</vt:lpstr>
      <vt:lpstr>DL_EPS_GRWTH_FY2</vt:lpstr>
      <vt:lpstr>DL_EPS_GRWTH_FY3</vt:lpstr>
      <vt:lpstr>DL_EPS_GRWTH_FY4</vt:lpstr>
      <vt:lpstr>DL_EPS_GRWTH_FY5</vt:lpstr>
      <vt:lpstr>DL_EPS_GRWTH_LAST_3YRS</vt:lpstr>
      <vt:lpstr>DL_EPS_GRWTH_NEXT_12M</vt:lpstr>
      <vt:lpstr>DL_EQUITY_12M_FWD_VALUE</vt:lpstr>
      <vt:lpstr>DL_ESG_IMPACT</vt:lpstr>
      <vt:lpstr>DL_ESG_KEY_ISSUE_1</vt:lpstr>
      <vt:lpstr>DL_ESG_KEY_ISSUE_2</vt:lpstr>
      <vt:lpstr>DL_ESG_KEY_ISSUE_3</vt:lpstr>
      <vt:lpstr>DL_ESG_KEY_ISSUE_4</vt:lpstr>
      <vt:lpstr>DL_ESG_KEY_ISSUE_5</vt:lpstr>
      <vt:lpstr>DL_ESG_KEY_ISSUE_6</vt:lpstr>
      <vt:lpstr>DL_ESG_KEY_ISSUE_7</vt:lpstr>
      <vt:lpstr>DL_ESG_KEY_ISSUE_8</vt:lpstr>
      <vt:lpstr>DL_ESG_KEY_ISSUE_9</vt:lpstr>
      <vt:lpstr>DL_FISCAL_YEAR_END</vt:lpstr>
      <vt:lpstr>DL_FY0_DATE</vt:lpstr>
      <vt:lpstr>DL_FY1_DATE</vt:lpstr>
      <vt:lpstr>DL_FY2_DATE</vt:lpstr>
      <vt:lpstr>DL_FY3_DATE</vt:lpstr>
      <vt:lpstr>DL_FY4_DATE</vt:lpstr>
      <vt:lpstr>DL_FY5_DATE</vt:lpstr>
      <vt:lpstr>DL_GRWTH_CAGR_NEXT_5YRS_SUBSCORE</vt:lpstr>
      <vt:lpstr>DL_GRWTH_LAST_3YRS_SUBSCORE</vt:lpstr>
      <vt:lpstr>DL_GRWTH_NEXT_12M_SUBSCORE</vt:lpstr>
      <vt:lpstr>DL_GRWTH_OVERALL_SCORE</vt:lpstr>
      <vt:lpstr>DL_LAST_PUBLISHED_DATE</vt:lpstr>
      <vt:lpstr>DL_LAST_SAVED_DATE</vt:lpstr>
      <vt:lpstr>DL_LATEST_DIV</vt:lpstr>
      <vt:lpstr>DL_LTIR</vt:lpstr>
      <vt:lpstr>DL_MARKET_VALUE</vt:lpstr>
      <vt:lpstr>DL_MRKT_RISK_PREM</vt:lpstr>
      <vt:lpstr>DL_ONE_YEAR_AGO_DATE</vt:lpstr>
      <vt:lpstr>DL_OPMARGIN_FY1</vt:lpstr>
      <vt:lpstr>DL_OPMARGIN_FY2</vt:lpstr>
      <vt:lpstr>DL_PART_OF_ANALYST_PLAYBOOK</vt:lpstr>
      <vt:lpstr>DL_PE_1Y</vt:lpstr>
      <vt:lpstr>DL_PE_2Y</vt:lpstr>
      <vt:lpstr>DL_PE_3Y</vt:lpstr>
      <vt:lpstr>DL_PE_FY0</vt:lpstr>
      <vt:lpstr>DL_PE_FY1</vt:lpstr>
      <vt:lpstr>DL_PE_FY2</vt:lpstr>
      <vt:lpstr>DL_PE_FY3</vt:lpstr>
      <vt:lpstr>DL_PE_FY4</vt:lpstr>
      <vt:lpstr>DL_PE_FY5</vt:lpstr>
      <vt:lpstr>DL_PRICE</vt:lpstr>
      <vt:lpstr>DL_PRICE_DATE</vt:lpstr>
      <vt:lpstr>DL_PRICE_IN_REPORTING_CCY</vt:lpstr>
      <vt:lpstr>DL_QLTY_BS_SUBSCORE</vt:lpstr>
      <vt:lpstr>DL_QLTY_FRCHS_SUBSCORE</vt:lpstr>
      <vt:lpstr>DL_QLTY_MGMT_SUBSCORE</vt:lpstr>
      <vt:lpstr>DL_QLTY_OVERALL_SCORE</vt:lpstr>
      <vt:lpstr>DL_REVENUE_FY1</vt:lpstr>
      <vt:lpstr>DL_REVENUE_FY2</vt:lpstr>
      <vt:lpstr>DL_RFR_INFLATION</vt:lpstr>
      <vt:lpstr>DL_ROE_FY0</vt:lpstr>
      <vt:lpstr>DL_ROE_FY1</vt:lpstr>
      <vt:lpstr>DL_ROE_FY2</vt:lpstr>
      <vt:lpstr>DL_ROIC_FY0</vt:lpstr>
      <vt:lpstr>DL_ROICWACC_RATIO</vt:lpstr>
      <vt:lpstr>DL_SEC_ANALYST</vt:lpstr>
      <vt:lpstr>DL_SEC_CODE</vt:lpstr>
      <vt:lpstr>DL_SEC_COUNTRY</vt:lpstr>
      <vt:lpstr>DL_SEC_DEF_BENCHMARK</vt:lpstr>
      <vt:lpstr>DL_SEC_NAME</vt:lpstr>
      <vt:lpstr>DL_SECTOR_PE</vt:lpstr>
      <vt:lpstr>DL_SELL_TARGET</vt:lpstr>
      <vt:lpstr>DL_SELL_TARGET_REPORT_CCY</vt:lpstr>
      <vt:lpstr>DL_SHARE_PER_UNIT</vt:lpstr>
      <vt:lpstr>DL_STOCK_SCORE</vt:lpstr>
      <vt:lpstr>DL_SUITABLE_ASIA</vt:lpstr>
      <vt:lpstr>DL_SUITABLE_CHINA</vt:lpstr>
      <vt:lpstr>DL_SUITABLE_DM</vt:lpstr>
      <vt:lpstr>DL_SUITABLE_EM</vt:lpstr>
      <vt:lpstr>DL_TARGET_PE_MULTIPLE</vt:lpstr>
      <vt:lpstr>DL_TARGET_PRICE_DOWNSIDE</vt:lpstr>
      <vt:lpstr>DL_TARGET_PRICE_SECTOR_VALUE</vt:lpstr>
      <vt:lpstr>DL_TARGET_PRICE_STATIC_VALUE</vt:lpstr>
      <vt:lpstr>DL_TARGET_PRICE_UPSIDE</vt:lpstr>
      <vt:lpstr>DL_TARGET_PRICE_UPSIDE_REPORT_CCY</vt:lpstr>
      <vt:lpstr>DL_TBO_TEXTITEM_1</vt:lpstr>
      <vt:lpstr>DL_TBO_TEXTITEM_10</vt:lpstr>
      <vt:lpstr>DL_TBO_TEXTITEM_11</vt:lpstr>
      <vt:lpstr>DL_TBO_TEXTITEM_12</vt:lpstr>
      <vt:lpstr>DL_TBO_TEXTITEM_13</vt:lpstr>
      <vt:lpstr>DL_TBO_TEXTITEM_14</vt:lpstr>
      <vt:lpstr>DL_TBO_TEXTITEM_15</vt:lpstr>
      <vt:lpstr>DL_TBO_TEXTITEM_16</vt:lpstr>
      <vt:lpstr>DL_TBO_TEXTITEM_17</vt:lpstr>
      <vt:lpstr>DL_TBO_TEXTITEM_18</vt:lpstr>
      <vt:lpstr>DL_TBO_TEXTITEM_19</vt:lpstr>
      <vt:lpstr>DL_TBO_TEXTITEM_2</vt:lpstr>
      <vt:lpstr>DL_TBO_TEXTITEM_20</vt:lpstr>
      <vt:lpstr>DL_TBO_TEXTITEM_21</vt:lpstr>
      <vt:lpstr>DL_TBO_TEXTITEM_22</vt:lpstr>
      <vt:lpstr>DL_TBO_TEXTITEM_23</vt:lpstr>
      <vt:lpstr>DL_TBO_TEXTITEM_24</vt:lpstr>
      <vt:lpstr>DL_TBO_TEXTITEM_25</vt:lpstr>
      <vt:lpstr>DL_TBO_TEXTITEM_26</vt:lpstr>
      <vt:lpstr>DL_TBO_TEXTITEM_3</vt:lpstr>
      <vt:lpstr>DL_TBO_TEXTITEM_4</vt:lpstr>
      <vt:lpstr>DL_TBO_TEXTITEM_5</vt:lpstr>
      <vt:lpstr>DL_TBO_TEXTITEM_6</vt:lpstr>
      <vt:lpstr>DL_TBO_TEXTITEM_7</vt:lpstr>
      <vt:lpstr>DL_TBO_TEXTITEM_8</vt:lpstr>
      <vt:lpstr>DL_TBO_TEXTITEM_9</vt:lpstr>
      <vt:lpstr>DL_TEMPLATE_DATE</vt:lpstr>
      <vt:lpstr>DL_THREE_YEARS_AGO_DATE</vt:lpstr>
      <vt:lpstr>DL_TWO_YEARS_AGO_DATE</vt:lpstr>
      <vt:lpstr>DL_UPSIDE_EARN_VALUE</vt:lpstr>
      <vt:lpstr>DL_UPSIDE_SECTOR_VALUE</vt:lpstr>
      <vt:lpstr>DL_UPSIDE_STATIC_VALUE</vt:lpstr>
      <vt:lpstr>DL_VAL_DISC_EARNING_SUBSCORE</vt:lpstr>
      <vt:lpstr>DL_VAL_MRKT_MEASURE_SUBSCORE</vt:lpstr>
      <vt:lpstr>DL_VAL_OVERALL_SCORE</vt:lpstr>
      <vt:lpstr>DL_VAL_STATIC_MEASURE_SUBSCORE</vt:lpstr>
      <vt:lpstr>DL_WACC_FY0</vt:lpstr>
      <vt:lpstr>DL_XD_DATE</vt:lpstr>
      <vt:lpstr>DL_XD_DATE_PREV</vt:lpstr>
      <vt:lpstr>DL_XRATE_ON_PRICE_DATE_FROM_PRICE_TO_REPORT_CCY</vt:lpstr>
      <vt:lpstr>DL_YIELD_FY1</vt:lpstr>
      <vt:lpstr>DL_YIELD_FY2</vt:lpstr>
      <vt:lpstr>DPS_1Y</vt:lpstr>
      <vt:lpstr>DPS_2Y</vt:lpstr>
      <vt:lpstr>DPS_3Y</vt:lpstr>
      <vt:lpstr>DPS_FY0</vt:lpstr>
      <vt:lpstr>DPS_FY1</vt:lpstr>
      <vt:lpstr>DPS_FY2</vt:lpstr>
      <vt:lpstr>DPS_FY3</vt:lpstr>
      <vt:lpstr>DPS_FY4</vt:lpstr>
      <vt:lpstr>DPS_FY5</vt:lpstr>
      <vt:lpstr>DPS_GRWTH_1Y</vt:lpstr>
      <vt:lpstr>DPS_GRWTH_2Y</vt:lpstr>
      <vt:lpstr>DPS_GRWTH_FY0</vt:lpstr>
      <vt:lpstr>DPS_GRWTH_FY1</vt:lpstr>
      <vt:lpstr>DPS_GRWTH_FY2</vt:lpstr>
      <vt:lpstr>DPS_GRWTH_FY3</vt:lpstr>
      <vt:lpstr>DPS_GRWTH_FY4</vt:lpstr>
      <vt:lpstr>DPS_GRWTH_FY5</vt:lpstr>
      <vt:lpstr>DPS_PAYOUT_1Y</vt:lpstr>
      <vt:lpstr>DPS_PAYOUT_2Y</vt:lpstr>
      <vt:lpstr>DPS_PAYOUT_3Y</vt:lpstr>
      <vt:lpstr>DPS_PAYOUT_FY0</vt:lpstr>
      <vt:lpstr>DPS_PAYOUT_FY1</vt:lpstr>
      <vt:lpstr>DPS_PAYOUT_FY2</vt:lpstr>
      <vt:lpstr>DPS_PAYOUT_FY3</vt:lpstr>
      <vt:lpstr>DPS_PAYOUT_FY4</vt:lpstr>
      <vt:lpstr>DPS_PAYOUT_FY5</vt:lpstr>
      <vt:lpstr>EPS_12M_FWD_VALUE</vt:lpstr>
      <vt:lpstr>EPS_1Y</vt:lpstr>
      <vt:lpstr>EPS_2Y</vt:lpstr>
      <vt:lpstr>EPS_3Y</vt:lpstr>
      <vt:lpstr>EPS_5YR_DISCOUNTED</vt:lpstr>
      <vt:lpstr>EPS_FY0</vt:lpstr>
      <vt:lpstr>EPS_FY1</vt:lpstr>
      <vt:lpstr>EPS_FY1_CONSENSUS</vt:lpstr>
      <vt:lpstr>EPS_FY2</vt:lpstr>
      <vt:lpstr>EPS_FY2_CONSENSUS</vt:lpstr>
      <vt:lpstr>EPS_FY3</vt:lpstr>
      <vt:lpstr>EPS_FY3_CONSENSUS</vt:lpstr>
      <vt:lpstr>EPS_FY4</vt:lpstr>
      <vt:lpstr>EPS_FY5</vt:lpstr>
      <vt:lpstr>EPS_GRWTH_1Y</vt:lpstr>
      <vt:lpstr>EPS_GRWTH_2Y</vt:lpstr>
      <vt:lpstr>EPS_GRWTH_CAGR_NEXT_5YRS</vt:lpstr>
      <vt:lpstr>EPS_GRWTH_FY0</vt:lpstr>
      <vt:lpstr>EPS_GRWTH_FY1</vt:lpstr>
      <vt:lpstr>EPS_GRWTH_FY2</vt:lpstr>
      <vt:lpstr>EPS_GRWTH_FY3</vt:lpstr>
      <vt:lpstr>EPS_GRWTH_FY4</vt:lpstr>
      <vt:lpstr>EPS_GRWTH_FY5</vt:lpstr>
      <vt:lpstr>EPS_GRWTH_LAST_3YRS</vt:lpstr>
      <vt:lpstr>EPS_GRWTH_NEXT_12M</vt:lpstr>
      <vt:lpstr>EQUITY_12M_FWD_VALUE</vt:lpstr>
      <vt:lpstr>ESG_IMPACT</vt:lpstr>
      <vt:lpstr>ESG_KEY_ISSUE_1</vt:lpstr>
      <vt:lpstr>ESG_KEY_ISSUE_2</vt:lpstr>
      <vt:lpstr>ESG_KEY_ISSUE_3</vt:lpstr>
      <vt:lpstr>ESG_KEY_ISSUE_4</vt:lpstr>
      <vt:lpstr>ESG_KEY_ISSUE_5</vt:lpstr>
      <vt:lpstr>ESG_KEY_ISSUE_6</vt:lpstr>
      <vt:lpstr>ESG_KEY_ISSUE_7</vt:lpstr>
      <vt:lpstr>ESG_KEY_ISSUE_8</vt:lpstr>
      <vt:lpstr>ESG_KEY_ISSUE_9</vt:lpstr>
      <vt:lpstr>FISCAL_YEAR_END</vt:lpstr>
      <vt:lpstr>FS_DATA</vt:lpstr>
      <vt:lpstr>FY0_DATE</vt:lpstr>
      <vt:lpstr>FY1_DATE</vt:lpstr>
      <vt:lpstr>FY2_DATE</vt:lpstr>
      <vt:lpstr>FY3_DATE</vt:lpstr>
      <vt:lpstr>FY4_DATE</vt:lpstr>
      <vt:lpstr>FY5_DATE</vt:lpstr>
      <vt:lpstr>GRWTH_CAGR_NEXT_5YRS_SUBSCORE</vt:lpstr>
      <vt:lpstr>GRWTH_LAST_3YRS_SUBSCORE</vt:lpstr>
      <vt:lpstr>GRWTH_NEXT_12M_SUBSCORE</vt:lpstr>
      <vt:lpstr>GRWTH_OVERALL_SCORE</vt:lpstr>
      <vt:lpstr>LATEST_DIV</vt:lpstr>
      <vt:lpstr>LTIR</vt:lpstr>
      <vt:lpstr>MARKET_VALUE</vt:lpstr>
      <vt:lpstr>MRKT_RISK_PREM</vt:lpstr>
      <vt:lpstr>ONE_YEAR_AGO_DATE</vt:lpstr>
      <vt:lpstr>PE_1Y</vt:lpstr>
      <vt:lpstr>PE_2Y</vt:lpstr>
      <vt:lpstr>PE_3Y</vt:lpstr>
      <vt:lpstr>PE_FY0</vt:lpstr>
      <vt:lpstr>PE_FY1</vt:lpstr>
      <vt:lpstr>PE_FY2</vt:lpstr>
      <vt:lpstr>PE_FY3</vt:lpstr>
      <vt:lpstr>PE_FY4</vt:lpstr>
      <vt:lpstr>PE_FY5</vt:lpstr>
      <vt:lpstr>PRICE</vt:lpstr>
      <vt:lpstr>PRICE_DATE</vt:lpstr>
      <vt:lpstr>PRICE_IN_REPORTING_CCY</vt:lpstr>
      <vt:lpstr>'Company Overview'!Print_Area</vt:lpstr>
      <vt:lpstr>'Company Score Card'!Print_Area</vt:lpstr>
      <vt:lpstr>'ESG Considerations'!Print_Area</vt:lpstr>
      <vt:lpstr>QLTY_BS_SUBSCORE</vt:lpstr>
      <vt:lpstr>QLTY_FRCHS_SUBSCORE</vt:lpstr>
      <vt:lpstr>QLTY_MGMT_SUBSCORE</vt:lpstr>
      <vt:lpstr>QLTY_OVERALL_SCORE</vt:lpstr>
      <vt:lpstr>RFR_INFLATION</vt:lpstr>
      <vt:lpstr>ROE_FY0</vt:lpstr>
      <vt:lpstr>ROIC_FY0</vt:lpstr>
      <vt:lpstr>ROICWACC_RATIO</vt:lpstr>
      <vt:lpstr>SEC_ANALYST</vt:lpstr>
      <vt:lpstr>SEC_CODE</vt:lpstr>
      <vt:lpstr>SEC_COUNTRY</vt:lpstr>
      <vt:lpstr>SEC_NAME</vt:lpstr>
      <vt:lpstr>SECTOR_PE</vt:lpstr>
      <vt:lpstr>SELL_TARGET</vt:lpstr>
      <vt:lpstr>SELL_TARGET_REPORTING_CCY</vt:lpstr>
      <vt:lpstr>STOCK_SCORE</vt:lpstr>
      <vt:lpstr>TARGET_PE_MULTIPLE</vt:lpstr>
      <vt:lpstr>TARGET_PRICE_SECTOR_VALUE</vt:lpstr>
      <vt:lpstr>TARGET_PRICE_STATIC_VALUE</vt:lpstr>
      <vt:lpstr>TARGET_PRICE_UPSIDE</vt:lpstr>
      <vt:lpstr>TARGET_PRICE_UPSIDE_REPORTING_CCY</vt:lpstr>
      <vt:lpstr>tbo_textitem_10</vt:lpstr>
      <vt:lpstr>tbo_textitem_11</vt:lpstr>
      <vt:lpstr>tbo_textitem_12</vt:lpstr>
      <vt:lpstr>tbo_textitem_13</vt:lpstr>
      <vt:lpstr>tbo_textitem_14</vt:lpstr>
      <vt:lpstr>tbo_textitem_15</vt:lpstr>
      <vt:lpstr>tbo_textitem_16</vt:lpstr>
      <vt:lpstr>tbo_textitem_17</vt:lpstr>
      <vt:lpstr>tbo_textitem_18</vt:lpstr>
      <vt:lpstr>tbo_textitem_19</vt:lpstr>
      <vt:lpstr>tbo_textitem_20</vt:lpstr>
      <vt:lpstr>tbo_textitem_21</vt:lpstr>
      <vt:lpstr>tbo_textitem_22</vt:lpstr>
      <vt:lpstr>tbo_textitem_23</vt:lpstr>
      <vt:lpstr>tbo_textitem_24</vt:lpstr>
      <vt:lpstr>tbo_textitem_25</vt:lpstr>
      <vt:lpstr>tbo_textitem_26</vt:lpstr>
      <vt:lpstr>tbo_textitem_9</vt:lpstr>
      <vt:lpstr>TEMPLATE_VERSION</vt:lpstr>
      <vt:lpstr>THREE_YEARS_AGO_DATE</vt:lpstr>
      <vt:lpstr>TRADING_CCY</vt:lpstr>
      <vt:lpstr>TWO_YEARS_AGO_DATE</vt:lpstr>
      <vt:lpstr>UPLD_ANALYTIC_DATA</vt:lpstr>
      <vt:lpstr>UPLD_APPLICABLE_FOR_LIGHT_COVERAGE</vt:lpstr>
      <vt:lpstr>UPLD_APPLICABLE_FOR_VALUATION_MODEL</vt:lpstr>
      <vt:lpstr>UPLD_BARINGS_12M_TARGET_SELL_PRICE</vt:lpstr>
      <vt:lpstr>UPLD_BARINGS_DISCOUNT_RATE</vt:lpstr>
      <vt:lpstr>UPLD_BUY_TARGET</vt:lpstr>
      <vt:lpstr>UPLD_BV_MULTI</vt:lpstr>
      <vt:lpstr>UPLD_BV_PS</vt:lpstr>
      <vt:lpstr>UPLD_CMP_PE_FY1</vt:lpstr>
      <vt:lpstr>UPLD_CMP_PE_RELATIVE</vt:lpstr>
      <vt:lpstr>UPLD_CMP_SPECIFIC</vt:lpstr>
      <vt:lpstr>UPLD_DIV_FREQ</vt:lpstr>
      <vt:lpstr>UPLD_DIVIDEND_12M_FWD_VALUE</vt:lpstr>
      <vt:lpstr>UPLD_DIVIDEND_YIELD_FY0</vt:lpstr>
      <vt:lpstr>UPLD_DPS_1Y</vt:lpstr>
      <vt:lpstr>UPLD_DPS_2Y</vt:lpstr>
      <vt:lpstr>UPLD_DPS_3Y</vt:lpstr>
      <vt:lpstr>UPLD_DPS_FY0</vt:lpstr>
      <vt:lpstr>UPLD_DPS_FY1</vt:lpstr>
      <vt:lpstr>UPLD_DPS_FY2</vt:lpstr>
      <vt:lpstr>UPLD_DPS_FY3</vt:lpstr>
      <vt:lpstr>UPLD_DPS_FY4</vt:lpstr>
      <vt:lpstr>UPLD_DPS_FY5</vt:lpstr>
      <vt:lpstr>UPLD_DPS_GRWTH_1Y</vt:lpstr>
      <vt:lpstr>UPLD_DPS_GRWTH_2Y</vt:lpstr>
      <vt:lpstr>UPLD_DPS_GRWTH_FY0</vt:lpstr>
      <vt:lpstr>UPLD_DPS_GRWTH_FY1</vt:lpstr>
      <vt:lpstr>UPLD_DPS_GRWTH_FY2</vt:lpstr>
      <vt:lpstr>UPLD_DPS_GRWTH_FY3</vt:lpstr>
      <vt:lpstr>UPLD_DPS_GRWTH_FY4</vt:lpstr>
      <vt:lpstr>UPLD_DPS_GRWTH_FY5</vt:lpstr>
      <vt:lpstr>UPLD_DPS_PAYOUT_1Y</vt:lpstr>
      <vt:lpstr>UPLD_DPS_PAYOUT_2Y</vt:lpstr>
      <vt:lpstr>UPLD_DPS_PAYOUT_3Y</vt:lpstr>
      <vt:lpstr>UPLD_DPS_PAYOUT_FY0</vt:lpstr>
      <vt:lpstr>UPLD_DPS_PAYOUT_FY1</vt:lpstr>
      <vt:lpstr>UPLD_DPS_PAYOUT_FY2</vt:lpstr>
      <vt:lpstr>UPLD_DPS_PAYOUT_FY3</vt:lpstr>
      <vt:lpstr>UPLD_DPS_PAYOUT_FY4</vt:lpstr>
      <vt:lpstr>UPLD_DPS_PAYOUT_FY5</vt:lpstr>
      <vt:lpstr>UPLD_EPS_12M_FWD_VALUE</vt:lpstr>
      <vt:lpstr>UPLD_EPS_1Y</vt:lpstr>
      <vt:lpstr>UPLD_EPS_2Y</vt:lpstr>
      <vt:lpstr>UPLD_EPS_3Y</vt:lpstr>
      <vt:lpstr>UPLD_EPS_5YR</vt:lpstr>
      <vt:lpstr>UPLD_EPS_5YR_DISCOUNTED</vt:lpstr>
      <vt:lpstr>UPLD_EPS_FY0</vt:lpstr>
      <vt:lpstr>UPLD_EPS_FY1</vt:lpstr>
      <vt:lpstr>UPLD_EPS_FY1_CONSENSUS</vt:lpstr>
      <vt:lpstr>UPLD_EPS_FY1_CONSENSUS_DATE</vt:lpstr>
      <vt:lpstr>UPLD_EPS_FY1_REPORT_CCY</vt:lpstr>
      <vt:lpstr>UPLD_EPS_FY2</vt:lpstr>
      <vt:lpstr>UPLD_EPS_FY2_CONSENSUS</vt:lpstr>
      <vt:lpstr>UPLD_EPS_FY2_CONSENSUS_DATE</vt:lpstr>
      <vt:lpstr>UPLD_EPS_FY2_REPORT_CCY</vt:lpstr>
      <vt:lpstr>UPLD_EPS_FY3</vt:lpstr>
      <vt:lpstr>UPLD_EPS_FY3_CONSENSUS</vt:lpstr>
      <vt:lpstr>UPLD_EPS_FY3_CONSENSUS_DATE</vt:lpstr>
      <vt:lpstr>UPLD_EPS_FY4</vt:lpstr>
      <vt:lpstr>UPLD_EPS_FY5</vt:lpstr>
      <vt:lpstr>UPLD_EPS_GRWTH_1Y</vt:lpstr>
      <vt:lpstr>UPLD_EPS_GRWTH_2Y</vt:lpstr>
      <vt:lpstr>UPLD_EPS_GRWTH_AVERAGE</vt:lpstr>
      <vt:lpstr>UPLD_EPS_GRWTH_CAGR_NEXT_5YRS</vt:lpstr>
      <vt:lpstr>UPLD_EPS_GRWTH_FY0</vt:lpstr>
      <vt:lpstr>UPLD_EPS_GRWTH_FY1</vt:lpstr>
      <vt:lpstr>UPLD_EPS_GRWTH_FY2</vt:lpstr>
      <vt:lpstr>UPLD_EPS_GRWTH_FY3</vt:lpstr>
      <vt:lpstr>UPLD_EPS_GRWTH_FY4</vt:lpstr>
      <vt:lpstr>UPLD_EPS_GRWTH_FY5</vt:lpstr>
      <vt:lpstr>UPLD_EPS_GRWTH_LAST_3YRS</vt:lpstr>
      <vt:lpstr>UPLD_EPS_GRWTH_NEXT_12M</vt:lpstr>
      <vt:lpstr>UPLD_EQUITY_12M_FWD_VALUE</vt:lpstr>
      <vt:lpstr>UPLD_ESG_IMPACT</vt:lpstr>
      <vt:lpstr>UPLD_ESG_KEY_ISSUE_1</vt:lpstr>
      <vt:lpstr>UPLD_ESG_KEY_ISSUE_2</vt:lpstr>
      <vt:lpstr>UPLD_ESG_KEY_ISSUE_3</vt:lpstr>
      <vt:lpstr>UPLD_ESG_KEY_ISSUE_4</vt:lpstr>
      <vt:lpstr>UPLD_ESG_KEY_ISSUE_5</vt:lpstr>
      <vt:lpstr>UPLD_ESG_KEY_ISSUE_6</vt:lpstr>
      <vt:lpstr>UPLD_ESG_KEY_ISSUE_7</vt:lpstr>
      <vt:lpstr>UPLD_ESG_KEY_ISSUE_8</vt:lpstr>
      <vt:lpstr>UPLD_ESG_KEY_ISSUE_9</vt:lpstr>
      <vt:lpstr>UPLD_FISCAL_YEAR_END</vt:lpstr>
      <vt:lpstr>UPLD_FY0_DATE</vt:lpstr>
      <vt:lpstr>UPLD_FY1_DATE</vt:lpstr>
      <vt:lpstr>UPLD_FY2_DATE</vt:lpstr>
      <vt:lpstr>UPLD_FY3_DATE</vt:lpstr>
      <vt:lpstr>UPLD_FY4_DATE</vt:lpstr>
      <vt:lpstr>UPLD_FY5_DATE</vt:lpstr>
      <vt:lpstr>UPLD_GRWTH_CAGR_NEXT_5YRS_SUBSCORE</vt:lpstr>
      <vt:lpstr>UPLD_GRWTH_LAST_3YRS_SUBSCORE</vt:lpstr>
      <vt:lpstr>UPLD_GRWTH_NEXT_12M_SUBSCORE</vt:lpstr>
      <vt:lpstr>UPLD_GRWTH_OVERALL_SCORE</vt:lpstr>
      <vt:lpstr>UPLD_LAST_PUBLISHED_DATE</vt:lpstr>
      <vt:lpstr>UPLD_LAST_SAVED_DATE</vt:lpstr>
      <vt:lpstr>UPLD_LATEST_DIV</vt:lpstr>
      <vt:lpstr>UPLD_LTIR</vt:lpstr>
      <vt:lpstr>UPLD_MARKET_VALUE</vt:lpstr>
      <vt:lpstr>UPLD_MRKT_RISK_PREM</vt:lpstr>
      <vt:lpstr>UPLD_ONE_YEAR_AGO_DATE</vt:lpstr>
      <vt:lpstr>UPLD_OPMARGIN_FY1</vt:lpstr>
      <vt:lpstr>UPLD_OPMARGIN_FY2</vt:lpstr>
      <vt:lpstr>UPLD_PART_OF_ANALYST_PLAYBOOK</vt:lpstr>
      <vt:lpstr>UPLD_PE_1Y</vt:lpstr>
      <vt:lpstr>UPLD_PE_2Y</vt:lpstr>
      <vt:lpstr>UPLD_PE_3Y</vt:lpstr>
      <vt:lpstr>UPLD_PE_FY0</vt:lpstr>
      <vt:lpstr>UPLD_PE_FY1</vt:lpstr>
      <vt:lpstr>UPLD_PE_FY2</vt:lpstr>
      <vt:lpstr>UPLD_PE_FY3</vt:lpstr>
      <vt:lpstr>UPLD_PE_FY4</vt:lpstr>
      <vt:lpstr>UPLD_PE_FY5</vt:lpstr>
      <vt:lpstr>UPLD_PRICE</vt:lpstr>
      <vt:lpstr>UPLD_PRICE_DATE</vt:lpstr>
      <vt:lpstr>UPLD_PRICE_IN_REPORTING_CCY</vt:lpstr>
      <vt:lpstr>UPLD_QLTY_BS_SUBSCORE</vt:lpstr>
      <vt:lpstr>UPLD_QLTY_FRCHS_SUBSCORE</vt:lpstr>
      <vt:lpstr>UPLD_QLTY_MGMT_SUBSCORE</vt:lpstr>
      <vt:lpstr>UPLD_QLTY_OVERALL_SCORE</vt:lpstr>
      <vt:lpstr>UPLD_REVENUE_FY1</vt:lpstr>
      <vt:lpstr>UPLD_REVENUE_FY2</vt:lpstr>
      <vt:lpstr>UPLD_RFR_INFLATION</vt:lpstr>
      <vt:lpstr>UPLD_ROE_FY0</vt:lpstr>
      <vt:lpstr>UPLD_ROE_FY1</vt:lpstr>
      <vt:lpstr>UPLD_ROE_FY2</vt:lpstr>
      <vt:lpstr>UPLD_ROIC_FY0</vt:lpstr>
      <vt:lpstr>UPLD_ROICWACC_RATIO</vt:lpstr>
      <vt:lpstr>UPLD_SECTOR_PE</vt:lpstr>
      <vt:lpstr>UPLD_SEDOL</vt:lpstr>
      <vt:lpstr>UPLD_SELL_TARGET</vt:lpstr>
      <vt:lpstr>UPLD_SELL_TARGET_REPORT_CCY</vt:lpstr>
      <vt:lpstr>UPLD_STOCK_SCORE</vt:lpstr>
      <vt:lpstr>UPLD_SUITABLE_ASIA</vt:lpstr>
      <vt:lpstr>UPLD_SUITABLE_CHINA</vt:lpstr>
      <vt:lpstr>UPLD_SUITABLE_DM</vt:lpstr>
      <vt:lpstr>UPLD_SUITABLE_EM</vt:lpstr>
      <vt:lpstr>UPLD_TARGET_PE_MULTIPLE</vt:lpstr>
      <vt:lpstr>UPLD_TARGET_PRICE_DOWNSIDE</vt:lpstr>
      <vt:lpstr>UPLD_TARGET_PRICE_SECTOR_VALUE</vt:lpstr>
      <vt:lpstr>UPLD_TARGET_PRICE_STATIC_VALUE</vt:lpstr>
      <vt:lpstr>UPLD_TARGET_PRICE_UPSIDE</vt:lpstr>
      <vt:lpstr>UPLD_TARGET_PRICE_UPSIDE_REPORT_CCY</vt:lpstr>
      <vt:lpstr>UPLD_TBO_TEXTITEM_1</vt:lpstr>
      <vt:lpstr>UPLD_TBO_TEXTITEM_10</vt:lpstr>
      <vt:lpstr>UPLD_TBO_TEXTITEM_11</vt:lpstr>
      <vt:lpstr>UPLD_TBO_TEXTITEM_12</vt:lpstr>
      <vt:lpstr>UPLD_TBO_TEXTITEM_13</vt:lpstr>
      <vt:lpstr>UPLD_TBO_TEXTITEM_14</vt:lpstr>
      <vt:lpstr>UPLD_TBO_TEXTITEM_15</vt:lpstr>
      <vt:lpstr>UPLD_TBO_TEXTITEM_16</vt:lpstr>
      <vt:lpstr>UPLD_TBO_TEXTITEM_17</vt:lpstr>
      <vt:lpstr>UPLD_TBO_TEXTITEM_18</vt:lpstr>
      <vt:lpstr>UPLD_TBO_TEXTITEM_19</vt:lpstr>
      <vt:lpstr>UPLD_TBO_TEXTITEM_2</vt:lpstr>
      <vt:lpstr>UPLD_TBO_TEXTITEM_20</vt:lpstr>
      <vt:lpstr>UPLD_TBO_TEXTITEM_21</vt:lpstr>
      <vt:lpstr>UPLD_TBO_TEXTITEM_22</vt:lpstr>
      <vt:lpstr>UPLD_TBO_TEXTITEM_23</vt:lpstr>
      <vt:lpstr>UPLD_TBO_TEXTITEM_24</vt:lpstr>
      <vt:lpstr>UPLD_TBO_TEXTITEM_25</vt:lpstr>
      <vt:lpstr>UPLD_TBO_TEXTITEM_26</vt:lpstr>
      <vt:lpstr>UPLD_TBO_TEXTITEM_3</vt:lpstr>
      <vt:lpstr>UPLD_TBO_TEXTITEM_4</vt:lpstr>
      <vt:lpstr>UPLD_TBO_TEXTITEM_5</vt:lpstr>
      <vt:lpstr>UPLD_TBO_TEXTITEM_6</vt:lpstr>
      <vt:lpstr>UPLD_TBO_TEXTITEM_7</vt:lpstr>
      <vt:lpstr>UPLD_TBO_TEXTITEM_8</vt:lpstr>
      <vt:lpstr>UPLD_TBO_TEXTITEM_9</vt:lpstr>
      <vt:lpstr>UPLD_TEXT_DATA</vt:lpstr>
      <vt:lpstr>UPLD_TEXTITEM_DATA</vt:lpstr>
      <vt:lpstr>UPLD_THREE_YEARS_AGO_DATE</vt:lpstr>
      <vt:lpstr>UPLD_TWO_YEARS_AGO_DATE</vt:lpstr>
      <vt:lpstr>UPLD_UPSIDE_EARN_VALUE</vt:lpstr>
      <vt:lpstr>UPLD_UPSIDE_SECTOR_VALUE</vt:lpstr>
      <vt:lpstr>UPLD_UPSIDE_STATIC_VALUE</vt:lpstr>
      <vt:lpstr>UPLD_VAL_DISC_EARNING_SUBSCORE</vt:lpstr>
      <vt:lpstr>UPLD_VAL_MRKT_MEASURE_SUBSCORE</vt:lpstr>
      <vt:lpstr>UPLD_VAL_OVERALL_SCORE</vt:lpstr>
      <vt:lpstr>UPLD_VAL_STATIC_MEASURE_SUBSCORE</vt:lpstr>
      <vt:lpstr>UPLD_WACC_FY0</vt:lpstr>
      <vt:lpstr>UPLD_XD_DATE</vt:lpstr>
      <vt:lpstr>UPLD_XD_DATE_PREV</vt:lpstr>
      <vt:lpstr>UPLD_XRATE_ON_PRICE_DATE_FROM_PRICE_TO_REPORT_CCY</vt:lpstr>
      <vt:lpstr>UPLD_YIELD_FY1</vt:lpstr>
      <vt:lpstr>UPLD_YIELD_FY2</vt:lpstr>
      <vt:lpstr>UPSIDE_EARN_VALUE</vt:lpstr>
      <vt:lpstr>UPSIDE_SECTOR_VALUE</vt:lpstr>
      <vt:lpstr>UPSIDE_STATIC_VALUE</vt:lpstr>
      <vt:lpstr>VAL_DISC_EARNING_SUBSCORE</vt:lpstr>
      <vt:lpstr>VAL_MRKT_MEASURE_SUBSCORE</vt:lpstr>
      <vt:lpstr>VAL_OVERALL_SCORE</vt:lpstr>
      <vt:lpstr>VAL_STATIC_MEASURE_SUBSCORE</vt:lpstr>
      <vt:lpstr>WACC_FY0</vt:lpstr>
      <vt:lpstr>XD_DATE</vt:lpstr>
      <vt:lpstr>XD_DATE_PREV</vt:lpstr>
      <vt:lpstr>XRATE_ON_PRICE_DATE_FROM_PRICE_TO_REPORT_CCY</vt:lpstr>
    </vt:vector>
  </TitlesOfParts>
  <Company>Baring Asset Management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BAM Research Template</dc:title>
  <dc:creator>Marios Halloumis</dc:creator>
  <cp:lastModifiedBy>Ogundiran, Temi</cp:lastModifiedBy>
  <cp:lastPrinted>2019-08-08T16:10:36Z</cp:lastPrinted>
  <dcterms:created xsi:type="dcterms:W3CDTF">2004-03-26T10:00:03Z</dcterms:created>
  <dcterms:modified xsi:type="dcterms:W3CDTF">2019-08-16T07:56:03Z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fdsSearchOrder">
    <vt:i4>0</vt:i4>
  </property>
</Properties>
</file>